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2021 წელი ბიუჯეტი\2021 შესრულებები\3კვარტ.შესრ\საკრებულოს 3 კვარტ.შესრ\"/>
    </mc:Choice>
  </mc:AlternateContent>
  <bookViews>
    <workbookView xWindow="0" yWindow="0" windowWidth="20490" windowHeight="6555"/>
  </bookViews>
  <sheets>
    <sheet name="Sheet1" sheetId="1" r:id="rId1"/>
  </sheets>
  <definedNames>
    <definedName name="_xlnm._FilterDatabase" localSheetId="0" hidden="1">Sheet1!$A$4:$P$12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91" i="1" l="1"/>
  <c r="L291" i="1"/>
  <c r="C290" i="1"/>
  <c r="L290" i="1"/>
  <c r="D205" i="1"/>
  <c r="D216" i="1"/>
  <c r="C216" i="1" s="1"/>
  <c r="L216" i="1" s="1"/>
  <c r="C215" i="1"/>
  <c r="L215" i="1"/>
  <c r="C214" i="1"/>
  <c r="L214" i="1" s="1"/>
  <c r="D143" i="1"/>
  <c r="D63" i="1"/>
  <c r="D65" i="1"/>
  <c r="J64" i="1"/>
  <c r="I64" i="1"/>
  <c r="I65" i="1" s="1"/>
  <c r="H65" i="1"/>
  <c r="G65" i="1"/>
  <c r="F63" i="1"/>
  <c r="F64" i="1"/>
  <c r="F65" i="1"/>
  <c r="E65" i="1"/>
  <c r="C63" i="1"/>
  <c r="C64" i="1"/>
  <c r="C65" i="1"/>
  <c r="J65" i="1"/>
  <c r="D296" i="1"/>
  <c r="E296" i="1"/>
  <c r="I295" i="1"/>
  <c r="L295" i="1" s="1"/>
  <c r="C295" i="1"/>
  <c r="F295" i="1"/>
  <c r="I294" i="1"/>
  <c r="L294" i="1" s="1"/>
  <c r="C294" i="1"/>
  <c r="F294" i="1"/>
  <c r="I293" i="1"/>
  <c r="L293" i="1" s="1"/>
  <c r="C293" i="1"/>
  <c r="F293" i="1"/>
  <c r="I292" i="1"/>
  <c r="L292" i="1" s="1"/>
  <c r="C292" i="1"/>
  <c r="F292" i="1"/>
  <c r="G68" i="1"/>
  <c r="D201" i="1"/>
  <c r="C200" i="1"/>
  <c r="I181" i="1"/>
  <c r="C181" i="1"/>
  <c r="L181" i="1"/>
  <c r="F181" i="1"/>
  <c r="I180" i="1"/>
  <c r="C180" i="1"/>
  <c r="L180" i="1"/>
  <c r="F180" i="1"/>
  <c r="D183" i="1"/>
  <c r="E183" i="1"/>
  <c r="I177" i="1"/>
  <c r="L177" i="1" s="1"/>
  <c r="C177" i="1"/>
  <c r="F177" i="1"/>
  <c r="E119" i="1"/>
  <c r="I101" i="1"/>
  <c r="G101" i="1" s="1"/>
  <c r="F101" i="1" s="1"/>
  <c r="D101" i="1" s="1"/>
  <c r="C101" i="1" s="1"/>
  <c r="D68" i="1"/>
  <c r="E315" i="1"/>
  <c r="C314" i="1"/>
  <c r="K311" i="1"/>
  <c r="I311" i="1" s="1"/>
  <c r="C311" i="1"/>
  <c r="L311" i="1"/>
  <c r="F311" i="1"/>
  <c r="D238" i="1"/>
  <c r="D239" i="1"/>
  <c r="C239" i="1" s="1"/>
  <c r="D240" i="1"/>
  <c r="D243" i="1"/>
  <c r="C243" i="1" s="1"/>
  <c r="D245" i="1"/>
  <c r="D252" i="1"/>
  <c r="D257" i="1"/>
  <c r="E245" i="1"/>
  <c r="F248" i="1"/>
  <c r="E248" i="1"/>
  <c r="E249" i="1"/>
  <c r="C249" i="1" s="1"/>
  <c r="E250" i="1"/>
  <c r="I253" i="1"/>
  <c r="H253" i="1"/>
  <c r="F253" i="1"/>
  <c r="E253" i="1" s="1"/>
  <c r="C253" i="1" s="1"/>
  <c r="L253" i="1" s="1"/>
  <c r="J240" i="1"/>
  <c r="J239" i="1"/>
  <c r="J238" i="1"/>
  <c r="J243" i="1"/>
  <c r="R175" i="1"/>
  <c r="C176" i="1"/>
  <c r="Q157" i="1"/>
  <c r="I117" i="1"/>
  <c r="C117" i="1"/>
  <c r="L117" i="1"/>
  <c r="F117" i="1"/>
  <c r="I116" i="1"/>
  <c r="C116" i="1"/>
  <c r="L116" i="1"/>
  <c r="F116" i="1"/>
  <c r="I115" i="1"/>
  <c r="C115" i="1"/>
  <c r="L115" i="1"/>
  <c r="F115" i="1"/>
  <c r="I114" i="1"/>
  <c r="C114" i="1"/>
  <c r="L114" i="1"/>
  <c r="F114" i="1"/>
  <c r="I113" i="1"/>
  <c r="C113" i="1"/>
  <c r="L113" i="1"/>
  <c r="F113" i="1"/>
  <c r="I112" i="1"/>
  <c r="C112" i="1"/>
  <c r="L112" i="1"/>
  <c r="F112" i="1"/>
  <c r="K16" i="1"/>
  <c r="K19" i="1"/>
  <c r="K20" i="1"/>
  <c r="K21" i="1"/>
  <c r="K60" i="1" s="1"/>
  <c r="K22" i="1"/>
  <c r="K24" i="1"/>
  <c r="I24" i="1" s="1"/>
  <c r="L24" i="1" s="1"/>
  <c r="K44" i="1"/>
  <c r="K45" i="1"/>
  <c r="K47" i="1"/>
  <c r="K48" i="1"/>
  <c r="J16" i="1"/>
  <c r="J60" i="1" s="1"/>
  <c r="J19" i="1"/>
  <c r="J20" i="1"/>
  <c r="J21" i="1"/>
  <c r="J22" i="1"/>
  <c r="I22" i="1" s="1"/>
  <c r="L22" i="1" s="1"/>
  <c r="J24" i="1"/>
  <c r="J44" i="1"/>
  <c r="I44" i="1" s="1"/>
  <c r="L44" i="1" s="1"/>
  <c r="J45" i="1"/>
  <c r="J47" i="1"/>
  <c r="I47" i="1" s="1"/>
  <c r="L47" i="1" s="1"/>
  <c r="J48" i="1"/>
  <c r="I15" i="1"/>
  <c r="I16" i="1"/>
  <c r="L16" i="1" s="1"/>
  <c r="I17" i="1"/>
  <c r="I18" i="1"/>
  <c r="I19" i="1"/>
  <c r="I20" i="1"/>
  <c r="L20" i="1" s="1"/>
  <c r="I23" i="1"/>
  <c r="I25" i="1"/>
  <c r="I26" i="1"/>
  <c r="I27" i="1"/>
  <c r="I28" i="1"/>
  <c r="I29" i="1"/>
  <c r="I30" i="1"/>
  <c r="I31" i="1"/>
  <c r="I32" i="1"/>
  <c r="I33" i="1"/>
  <c r="I34" i="1"/>
  <c r="I35" i="1"/>
  <c r="I36" i="1"/>
  <c r="I37" i="1"/>
  <c r="I38" i="1"/>
  <c r="I39" i="1"/>
  <c r="I40" i="1"/>
  <c r="I41" i="1"/>
  <c r="I42" i="1"/>
  <c r="I43" i="1"/>
  <c r="I46" i="1"/>
  <c r="L46" i="1" s="1"/>
  <c r="I48" i="1"/>
  <c r="I49" i="1"/>
  <c r="I50" i="1"/>
  <c r="L50" i="1" s="1"/>
  <c r="I51" i="1"/>
  <c r="I56" i="1"/>
  <c r="I57" i="1"/>
  <c r="I58" i="1"/>
  <c r="L58" i="1" s="1"/>
  <c r="H20" i="1"/>
  <c r="H21" i="1"/>
  <c r="H44" i="1"/>
  <c r="H45" i="1"/>
  <c r="H47" i="1"/>
  <c r="F47" i="1" s="1"/>
  <c r="H48" i="1"/>
  <c r="H60" i="1"/>
  <c r="G20" i="1"/>
  <c r="G21" i="1"/>
  <c r="F21" i="1" s="1"/>
  <c r="G44" i="1"/>
  <c r="G45" i="1"/>
  <c r="F45" i="1" s="1"/>
  <c r="G47" i="1"/>
  <c r="G48" i="1"/>
  <c r="F15" i="1"/>
  <c r="F16" i="1"/>
  <c r="F17" i="1"/>
  <c r="F18" i="1"/>
  <c r="F19" i="1"/>
  <c r="F20" i="1"/>
  <c r="F22" i="1"/>
  <c r="F23" i="1"/>
  <c r="F24" i="1"/>
  <c r="F25" i="1"/>
  <c r="F26" i="1"/>
  <c r="F27" i="1"/>
  <c r="F28" i="1"/>
  <c r="F29" i="1"/>
  <c r="F30" i="1"/>
  <c r="F31" i="1"/>
  <c r="F32" i="1"/>
  <c r="F33" i="1"/>
  <c r="F34" i="1"/>
  <c r="F35" i="1"/>
  <c r="F36" i="1"/>
  <c r="F37" i="1"/>
  <c r="F38" i="1"/>
  <c r="F39" i="1"/>
  <c r="F40" i="1"/>
  <c r="F41" i="1"/>
  <c r="F42" i="1"/>
  <c r="F43" i="1"/>
  <c r="F44" i="1"/>
  <c r="F46" i="1"/>
  <c r="F48" i="1"/>
  <c r="F49" i="1"/>
  <c r="F50" i="1"/>
  <c r="F51" i="1"/>
  <c r="F54" i="1"/>
  <c r="F55" i="1"/>
  <c r="F56" i="1"/>
  <c r="F57" i="1"/>
  <c r="F58" i="1"/>
  <c r="F52" i="1"/>
  <c r="F53" i="1"/>
  <c r="E20" i="1"/>
  <c r="E60" i="1" s="1"/>
  <c r="E21" i="1"/>
  <c r="E22" i="1"/>
  <c r="E44" i="1"/>
  <c r="E45" i="1"/>
  <c r="E47" i="1"/>
  <c r="E48" i="1"/>
  <c r="D20" i="1"/>
  <c r="D60" i="1" s="1"/>
  <c r="D21" i="1"/>
  <c r="D22" i="1"/>
  <c r="D44" i="1"/>
  <c r="D45" i="1"/>
  <c r="D47" i="1"/>
  <c r="D48" i="1"/>
  <c r="C59" i="1"/>
  <c r="C58" i="1"/>
  <c r="C57" i="1"/>
  <c r="L57" i="1" s="1"/>
  <c r="C56" i="1"/>
  <c r="Q20" i="1"/>
  <c r="H249" i="1"/>
  <c r="H250" i="1"/>
  <c r="H245" i="1"/>
  <c r="G245" i="1"/>
  <c r="F175" i="1"/>
  <c r="F174" i="1"/>
  <c r="F173" i="1"/>
  <c r="F172" i="1"/>
  <c r="F171" i="1"/>
  <c r="F170" i="1"/>
  <c r="F169" i="1"/>
  <c r="F168" i="1"/>
  <c r="F167" i="1"/>
  <c r="F166" i="1"/>
  <c r="C175" i="1"/>
  <c r="C174" i="1"/>
  <c r="C173" i="1"/>
  <c r="L173" i="1" s="1"/>
  <c r="C172" i="1"/>
  <c r="C171" i="1"/>
  <c r="C170" i="1"/>
  <c r="L170" i="1" s="1"/>
  <c r="C169" i="1"/>
  <c r="C168" i="1"/>
  <c r="C167" i="1"/>
  <c r="C166" i="1"/>
  <c r="L166" i="1" s="1"/>
  <c r="K158" i="1"/>
  <c r="I158" i="1" s="1"/>
  <c r="L158" i="1" s="1"/>
  <c r="K160" i="1"/>
  <c r="K161" i="1"/>
  <c r="K162" i="1"/>
  <c r="K183" i="1"/>
  <c r="J156" i="1"/>
  <c r="J183" i="1" s="1"/>
  <c r="J157" i="1"/>
  <c r="I147" i="1"/>
  <c r="I183" i="1" s="1"/>
  <c r="I148" i="1"/>
  <c r="I149" i="1"/>
  <c r="I150" i="1"/>
  <c r="I151" i="1"/>
  <c r="L151" i="1" s="1"/>
  <c r="I152" i="1"/>
  <c r="I153" i="1"/>
  <c r="I154" i="1"/>
  <c r="I155" i="1"/>
  <c r="I156" i="1"/>
  <c r="I157" i="1"/>
  <c r="I159" i="1"/>
  <c r="L159" i="1" s="1"/>
  <c r="I160" i="1"/>
  <c r="I161" i="1"/>
  <c r="I162" i="1"/>
  <c r="I163" i="1"/>
  <c r="I164" i="1"/>
  <c r="I165" i="1"/>
  <c r="H183" i="1"/>
  <c r="G148" i="1"/>
  <c r="G183" i="1" s="1"/>
  <c r="F147" i="1"/>
  <c r="F149" i="1"/>
  <c r="F150" i="1"/>
  <c r="F151" i="1"/>
  <c r="F152" i="1"/>
  <c r="F153" i="1"/>
  <c r="F154" i="1"/>
  <c r="F155" i="1"/>
  <c r="F156" i="1"/>
  <c r="F157" i="1"/>
  <c r="F158" i="1"/>
  <c r="F159" i="1"/>
  <c r="F160" i="1"/>
  <c r="F161" i="1"/>
  <c r="F162" i="1"/>
  <c r="F163" i="1"/>
  <c r="F164" i="1"/>
  <c r="F165" i="1"/>
  <c r="Q160" i="1"/>
  <c r="E324" i="1"/>
  <c r="C324" i="1" s="1"/>
  <c r="L324" i="1" s="1"/>
  <c r="D355" i="1"/>
  <c r="D358" i="1" s="1"/>
  <c r="C312" i="1"/>
  <c r="F312" i="1"/>
  <c r="I312" i="1"/>
  <c r="L312" i="1" s="1"/>
  <c r="C313" i="1"/>
  <c r="F313" i="1"/>
  <c r="I313" i="1"/>
  <c r="L313" i="1" s="1"/>
  <c r="G296" i="1"/>
  <c r="F291" i="1"/>
  <c r="F285" i="1"/>
  <c r="F286" i="1"/>
  <c r="F287" i="1"/>
  <c r="F274" i="1"/>
  <c r="F275" i="1"/>
  <c r="F276" i="1"/>
  <c r="F277" i="1"/>
  <c r="F278" i="1"/>
  <c r="F279" i="1"/>
  <c r="F280" i="1"/>
  <c r="F281" i="1"/>
  <c r="F282" i="1"/>
  <c r="F283" i="1"/>
  <c r="F284" i="1"/>
  <c r="F288" i="1"/>
  <c r="F289" i="1"/>
  <c r="F290" i="1"/>
  <c r="J208" i="1"/>
  <c r="F111" i="1"/>
  <c r="F110" i="1"/>
  <c r="C111" i="1"/>
  <c r="L111" i="1"/>
  <c r="C110" i="1"/>
  <c r="L110" i="1" s="1"/>
  <c r="K296" i="1"/>
  <c r="J275" i="1"/>
  <c r="J296" i="1" s="1"/>
  <c r="J276" i="1"/>
  <c r="J277" i="1"/>
  <c r="J278" i="1"/>
  <c r="J282" i="1"/>
  <c r="I282" i="1" s="1"/>
  <c r="J283" i="1"/>
  <c r="I283" i="1" s="1"/>
  <c r="L283" i="1" s="1"/>
  <c r="I274" i="1"/>
  <c r="I275" i="1"/>
  <c r="I276" i="1"/>
  <c r="I277" i="1"/>
  <c r="I278" i="1"/>
  <c r="I279" i="1"/>
  <c r="I280" i="1"/>
  <c r="I281" i="1"/>
  <c r="I284" i="1"/>
  <c r="I285" i="1"/>
  <c r="L285" i="1" s="1"/>
  <c r="I286" i="1"/>
  <c r="I287" i="1"/>
  <c r="I288" i="1"/>
  <c r="I289" i="1"/>
  <c r="L289" i="1" s="1"/>
  <c r="H296" i="1"/>
  <c r="J355" i="1"/>
  <c r="J358" i="1" s="1"/>
  <c r="I358" i="1" s="1"/>
  <c r="L358" i="1" s="1"/>
  <c r="K358" i="1"/>
  <c r="C358" i="1"/>
  <c r="I357" i="1"/>
  <c r="C357" i="1"/>
  <c r="L357" i="1"/>
  <c r="I356" i="1"/>
  <c r="L356" i="1" s="1"/>
  <c r="C356" i="1"/>
  <c r="I355" i="1"/>
  <c r="L355" i="1" s="1"/>
  <c r="C355" i="1"/>
  <c r="J323" i="1"/>
  <c r="J326" i="1"/>
  <c r="J330" i="1"/>
  <c r="J331" i="1"/>
  <c r="J333" i="1"/>
  <c r="I333" i="1" s="1"/>
  <c r="L333" i="1" s="1"/>
  <c r="J340" i="1"/>
  <c r="I340" i="1" s="1"/>
  <c r="J341" i="1"/>
  <c r="K352" i="1"/>
  <c r="D323" i="1"/>
  <c r="D326" i="1"/>
  <c r="D333" i="1"/>
  <c r="F334" i="1"/>
  <c r="D334" i="1" s="1"/>
  <c r="C334" i="1" s="1"/>
  <c r="E352" i="1"/>
  <c r="C351" i="1"/>
  <c r="L351" i="1"/>
  <c r="C350" i="1"/>
  <c r="L350" i="1"/>
  <c r="C349" i="1"/>
  <c r="L349" i="1"/>
  <c r="C348" i="1"/>
  <c r="L348" i="1"/>
  <c r="C347" i="1"/>
  <c r="L347" i="1"/>
  <c r="I346" i="1"/>
  <c r="C346" i="1"/>
  <c r="I345" i="1"/>
  <c r="C345" i="1"/>
  <c r="L345" i="1" s="1"/>
  <c r="I344" i="1"/>
  <c r="C344" i="1"/>
  <c r="L344" i="1"/>
  <c r="I343" i="1"/>
  <c r="L343" i="1" s="1"/>
  <c r="C343" i="1"/>
  <c r="I342" i="1"/>
  <c r="L342" i="1" s="1"/>
  <c r="C342" i="1"/>
  <c r="I341" i="1"/>
  <c r="L341" i="1" s="1"/>
  <c r="C341" i="1"/>
  <c r="C340" i="1"/>
  <c r="L340" i="1"/>
  <c r="I339" i="1"/>
  <c r="C339" i="1"/>
  <c r="L339" i="1"/>
  <c r="I338" i="1"/>
  <c r="L338" i="1" s="1"/>
  <c r="C338" i="1"/>
  <c r="I337" i="1"/>
  <c r="C337" i="1"/>
  <c r="L337" i="1"/>
  <c r="I336" i="1"/>
  <c r="C336" i="1"/>
  <c r="L336" i="1" s="1"/>
  <c r="I335" i="1"/>
  <c r="L335" i="1" s="1"/>
  <c r="C335" i="1"/>
  <c r="I334" i="1"/>
  <c r="C333" i="1"/>
  <c r="I332" i="1"/>
  <c r="C332" i="1"/>
  <c r="L332" i="1"/>
  <c r="I331" i="1"/>
  <c r="L331" i="1" s="1"/>
  <c r="C331" i="1"/>
  <c r="I330" i="1"/>
  <c r="L330" i="1" s="1"/>
  <c r="C330" i="1"/>
  <c r="I329" i="1"/>
  <c r="L329" i="1" s="1"/>
  <c r="C329" i="1"/>
  <c r="I328" i="1"/>
  <c r="C328" i="1"/>
  <c r="L328" i="1" s="1"/>
  <c r="I327" i="1"/>
  <c r="C327" i="1"/>
  <c r="L327" i="1"/>
  <c r="I326" i="1"/>
  <c r="C326" i="1"/>
  <c r="I325" i="1"/>
  <c r="L325" i="1" s="1"/>
  <c r="C325" i="1"/>
  <c r="I324" i="1"/>
  <c r="I322" i="1"/>
  <c r="C322" i="1"/>
  <c r="I321" i="1"/>
  <c r="C321" i="1"/>
  <c r="L321" i="1" s="1"/>
  <c r="I320" i="1"/>
  <c r="C320" i="1"/>
  <c r="L320" i="1"/>
  <c r="I319" i="1"/>
  <c r="L319" i="1" s="1"/>
  <c r="C319" i="1"/>
  <c r="I318" i="1"/>
  <c r="L318" i="1" s="1"/>
  <c r="C318" i="1"/>
  <c r="J315" i="1"/>
  <c r="D315" i="1"/>
  <c r="C315" i="1"/>
  <c r="I310" i="1"/>
  <c r="C310" i="1"/>
  <c r="L310" i="1"/>
  <c r="I309" i="1"/>
  <c r="C309" i="1"/>
  <c r="I308" i="1"/>
  <c r="L308" i="1" s="1"/>
  <c r="C308" i="1"/>
  <c r="I307" i="1"/>
  <c r="C307" i="1"/>
  <c r="L307" i="1"/>
  <c r="I306" i="1"/>
  <c r="C306" i="1"/>
  <c r="L306" i="1"/>
  <c r="I305" i="1"/>
  <c r="L305" i="1" s="1"/>
  <c r="C305" i="1"/>
  <c r="I304" i="1"/>
  <c r="C304" i="1"/>
  <c r="L304" i="1"/>
  <c r="I303" i="1"/>
  <c r="C303" i="1"/>
  <c r="L303" i="1" s="1"/>
  <c r="I302" i="1"/>
  <c r="L302" i="1" s="1"/>
  <c r="C302" i="1"/>
  <c r="I301" i="1"/>
  <c r="C301" i="1"/>
  <c r="I300" i="1"/>
  <c r="C300" i="1"/>
  <c r="L300" i="1" s="1"/>
  <c r="I299" i="1"/>
  <c r="C299" i="1"/>
  <c r="L299" i="1"/>
  <c r="C296" i="1"/>
  <c r="C289" i="1"/>
  <c r="C288" i="1"/>
  <c r="C287" i="1"/>
  <c r="L287" i="1"/>
  <c r="C286" i="1"/>
  <c r="L286" i="1" s="1"/>
  <c r="C285" i="1"/>
  <c r="C284" i="1"/>
  <c r="C283" i="1"/>
  <c r="C282" i="1"/>
  <c r="C281" i="1"/>
  <c r="L281" i="1" s="1"/>
  <c r="C280" i="1"/>
  <c r="C279" i="1"/>
  <c r="L279" i="1"/>
  <c r="C278" i="1"/>
  <c r="L278" i="1" s="1"/>
  <c r="C277" i="1"/>
  <c r="L277" i="1" s="1"/>
  <c r="C276" i="1"/>
  <c r="C275" i="1"/>
  <c r="L275" i="1"/>
  <c r="C274" i="1"/>
  <c r="L274" i="1" s="1"/>
  <c r="I271" i="1"/>
  <c r="L271" i="1" s="1"/>
  <c r="C271" i="1"/>
  <c r="J268" i="1"/>
  <c r="K268" i="1"/>
  <c r="I268" i="1" s="1"/>
  <c r="L268" i="1" s="1"/>
  <c r="C268" i="1"/>
  <c r="I267" i="1"/>
  <c r="L267" i="1" s="1"/>
  <c r="C267" i="1"/>
  <c r="J260" i="1"/>
  <c r="J261" i="1"/>
  <c r="J264" i="1"/>
  <c r="I264" i="1" s="1"/>
  <c r="K264" i="1"/>
  <c r="D264" i="1"/>
  <c r="C264" i="1" s="1"/>
  <c r="L264" i="1" s="1"/>
  <c r="I263" i="1"/>
  <c r="C263" i="1"/>
  <c r="L263" i="1" s="1"/>
  <c r="I262" i="1"/>
  <c r="L262" i="1" s="1"/>
  <c r="C262" i="1"/>
  <c r="I261" i="1"/>
  <c r="C261" i="1"/>
  <c r="I260" i="1"/>
  <c r="C260" i="1"/>
  <c r="L260" i="1" s="1"/>
  <c r="J226" i="1"/>
  <c r="J227" i="1"/>
  <c r="J228" i="1"/>
  <c r="I228" i="1" s="1"/>
  <c r="L228" i="1" s="1"/>
  <c r="J245" i="1"/>
  <c r="I245" i="1" s="1"/>
  <c r="L245" i="1" s="1"/>
  <c r="J251" i="1"/>
  <c r="J252" i="1"/>
  <c r="J257" i="1"/>
  <c r="K226" i="1"/>
  <c r="K227" i="1"/>
  <c r="K228" i="1"/>
  <c r="K230" i="1"/>
  <c r="I230" i="1" s="1"/>
  <c r="L230" i="1" s="1"/>
  <c r="K231" i="1"/>
  <c r="K232" i="1"/>
  <c r="K233" i="1"/>
  <c r="K235" i="1"/>
  <c r="I235" i="1" s="1"/>
  <c r="L235" i="1" s="1"/>
  <c r="K236" i="1"/>
  <c r="I236" i="1" s="1"/>
  <c r="K237" i="1"/>
  <c r="K238" i="1"/>
  <c r="K239" i="1"/>
  <c r="K240" i="1"/>
  <c r="K241" i="1"/>
  <c r="K243" i="1"/>
  <c r="K245" i="1"/>
  <c r="K246" i="1"/>
  <c r="K249" i="1"/>
  <c r="K250" i="1"/>
  <c r="K251" i="1"/>
  <c r="I251" i="1" s="1"/>
  <c r="L251" i="1" s="1"/>
  <c r="K252" i="1"/>
  <c r="I255" i="1"/>
  <c r="C255" i="1"/>
  <c r="L255" i="1" s="1"/>
  <c r="I254" i="1"/>
  <c r="L254" i="1" s="1"/>
  <c r="C254" i="1"/>
  <c r="C252" i="1"/>
  <c r="C251" i="1"/>
  <c r="I250" i="1"/>
  <c r="L250" i="1" s="1"/>
  <c r="C250" i="1"/>
  <c r="I249" i="1"/>
  <c r="L249" i="1" s="1"/>
  <c r="I248" i="1"/>
  <c r="C248" i="1"/>
  <c r="L248" i="1" s="1"/>
  <c r="I247" i="1"/>
  <c r="C247" i="1"/>
  <c r="L247" i="1"/>
  <c r="I246" i="1"/>
  <c r="C246" i="1"/>
  <c r="C245" i="1"/>
  <c r="I244" i="1"/>
  <c r="C244" i="1"/>
  <c r="L244" i="1"/>
  <c r="I243" i="1"/>
  <c r="L243" i="1"/>
  <c r="I242" i="1"/>
  <c r="C242" i="1"/>
  <c r="I241" i="1"/>
  <c r="L241" i="1" s="1"/>
  <c r="C241" i="1"/>
  <c r="C240" i="1"/>
  <c r="I239" i="1"/>
  <c r="L239" i="1" s="1"/>
  <c r="I238" i="1"/>
  <c r="L238" i="1" s="1"/>
  <c r="C238" i="1"/>
  <c r="I237" i="1"/>
  <c r="C237" i="1"/>
  <c r="L237" i="1"/>
  <c r="C236" i="1"/>
  <c r="L236" i="1"/>
  <c r="C235" i="1"/>
  <c r="I234" i="1"/>
  <c r="L234" i="1" s="1"/>
  <c r="C234" i="1"/>
  <c r="I233" i="1"/>
  <c r="L233" i="1" s="1"/>
  <c r="C233" i="1"/>
  <c r="I232" i="1"/>
  <c r="C232" i="1"/>
  <c r="L232" i="1" s="1"/>
  <c r="I231" i="1"/>
  <c r="C231" i="1"/>
  <c r="L231" i="1"/>
  <c r="C230" i="1"/>
  <c r="I229" i="1"/>
  <c r="C229" i="1"/>
  <c r="L229" i="1" s="1"/>
  <c r="C228" i="1"/>
  <c r="I227" i="1"/>
  <c r="L227" i="1" s="1"/>
  <c r="C227" i="1"/>
  <c r="C226" i="1"/>
  <c r="I225" i="1"/>
  <c r="L225" i="1" s="1"/>
  <c r="C225" i="1"/>
  <c r="I224" i="1"/>
  <c r="C224" i="1"/>
  <c r="L224" i="1"/>
  <c r="I223" i="1"/>
  <c r="C223" i="1"/>
  <c r="L223" i="1"/>
  <c r="I222" i="1"/>
  <c r="L222" i="1" s="1"/>
  <c r="C222" i="1"/>
  <c r="J219" i="1"/>
  <c r="I219" i="1" s="1"/>
  <c r="L219" i="1" s="1"/>
  <c r="C219" i="1"/>
  <c r="J205" i="1"/>
  <c r="I205" i="1" s="1"/>
  <c r="J216" i="1"/>
  <c r="I216" i="1" s="1"/>
  <c r="K216" i="1"/>
  <c r="E216" i="1"/>
  <c r="C213" i="1"/>
  <c r="L213" i="1"/>
  <c r="I212" i="1"/>
  <c r="C212" i="1"/>
  <c r="L212" i="1"/>
  <c r="I211" i="1"/>
  <c r="L211" i="1" s="1"/>
  <c r="C211" i="1"/>
  <c r="I210" i="1"/>
  <c r="C210" i="1"/>
  <c r="L210" i="1"/>
  <c r="I209" i="1"/>
  <c r="C209" i="1"/>
  <c r="L209" i="1" s="1"/>
  <c r="I208" i="1"/>
  <c r="L208" i="1" s="1"/>
  <c r="C208" i="1"/>
  <c r="I207" i="1"/>
  <c r="C207" i="1"/>
  <c r="I206" i="1"/>
  <c r="C206" i="1"/>
  <c r="L206" i="1" s="1"/>
  <c r="C205" i="1"/>
  <c r="L205" i="1" s="1"/>
  <c r="I204" i="1"/>
  <c r="C204" i="1"/>
  <c r="L204" i="1"/>
  <c r="J201" i="1"/>
  <c r="K201" i="1"/>
  <c r="E201" i="1"/>
  <c r="C201" i="1"/>
  <c r="I199" i="1"/>
  <c r="C199" i="1"/>
  <c r="L199" i="1"/>
  <c r="I198" i="1"/>
  <c r="C198" i="1"/>
  <c r="L198" i="1"/>
  <c r="I197" i="1"/>
  <c r="L197" i="1" s="1"/>
  <c r="C197" i="1"/>
  <c r="I196" i="1"/>
  <c r="C196" i="1"/>
  <c r="L196" i="1"/>
  <c r="D193" i="1"/>
  <c r="E193" i="1"/>
  <c r="C193" i="1" s="1"/>
  <c r="J189" i="1"/>
  <c r="J193" i="1" s="1"/>
  <c r="I193" i="1" s="1"/>
  <c r="K193" i="1"/>
  <c r="C192" i="1"/>
  <c r="I192" i="1"/>
  <c r="L192" i="1"/>
  <c r="I191" i="1"/>
  <c r="L191" i="1" s="1"/>
  <c r="C191" i="1"/>
  <c r="I190" i="1"/>
  <c r="L190" i="1" s="1"/>
  <c r="C190" i="1"/>
  <c r="C189" i="1"/>
  <c r="I188" i="1"/>
  <c r="C188" i="1"/>
  <c r="L188" i="1" s="1"/>
  <c r="I187" i="1"/>
  <c r="C187" i="1"/>
  <c r="L187" i="1"/>
  <c r="C183" i="1"/>
  <c r="L172" i="1"/>
  <c r="L171" i="1"/>
  <c r="L169" i="1"/>
  <c r="L168" i="1"/>
  <c r="L167" i="1"/>
  <c r="C165" i="1"/>
  <c r="L165" i="1" s="1"/>
  <c r="C164" i="1"/>
  <c r="C163" i="1"/>
  <c r="L163" i="1"/>
  <c r="C162" i="1"/>
  <c r="C161" i="1"/>
  <c r="L161" i="1"/>
  <c r="C160" i="1"/>
  <c r="C159" i="1"/>
  <c r="C158" i="1"/>
  <c r="C157" i="1"/>
  <c r="L157" i="1" s="1"/>
  <c r="C156" i="1"/>
  <c r="C155" i="1"/>
  <c r="L155" i="1"/>
  <c r="C154" i="1"/>
  <c r="C153" i="1"/>
  <c r="L153" i="1"/>
  <c r="C152" i="1"/>
  <c r="C151" i="1"/>
  <c r="C150" i="1"/>
  <c r="C149" i="1"/>
  <c r="L149" i="1" s="1"/>
  <c r="C148" i="1"/>
  <c r="C147" i="1"/>
  <c r="L147" i="1"/>
  <c r="J129" i="1"/>
  <c r="J130" i="1"/>
  <c r="J132" i="1"/>
  <c r="J134" i="1"/>
  <c r="I134" i="1" s="1"/>
  <c r="L134" i="1" s="1"/>
  <c r="J136" i="1"/>
  <c r="K144" i="1"/>
  <c r="D136" i="1"/>
  <c r="D144" i="1" s="1"/>
  <c r="C144" i="1" s="1"/>
  <c r="E144" i="1"/>
  <c r="C143" i="1"/>
  <c r="L143" i="1" s="1"/>
  <c r="C142" i="1"/>
  <c r="L142" i="1"/>
  <c r="I141" i="1"/>
  <c r="L141" i="1" s="1"/>
  <c r="C141" i="1"/>
  <c r="I140" i="1"/>
  <c r="L140" i="1" s="1"/>
  <c r="C140" i="1"/>
  <c r="I139" i="1"/>
  <c r="C139" i="1"/>
  <c r="L139" i="1" s="1"/>
  <c r="I138" i="1"/>
  <c r="C138" i="1"/>
  <c r="L138" i="1"/>
  <c r="I137" i="1"/>
  <c r="L137" i="1" s="1"/>
  <c r="C137" i="1"/>
  <c r="I136" i="1"/>
  <c r="I135" i="1"/>
  <c r="C135" i="1"/>
  <c r="L135" i="1" s="1"/>
  <c r="C134" i="1"/>
  <c r="I133" i="1"/>
  <c r="L133" i="1" s="1"/>
  <c r="C133" i="1"/>
  <c r="I132" i="1"/>
  <c r="L132" i="1" s="1"/>
  <c r="C132" i="1"/>
  <c r="I131" i="1"/>
  <c r="C131" i="1"/>
  <c r="L131" i="1" s="1"/>
  <c r="I130" i="1"/>
  <c r="C130" i="1"/>
  <c r="L130" i="1"/>
  <c r="I129" i="1"/>
  <c r="L129" i="1" s="1"/>
  <c r="C129" i="1"/>
  <c r="J122" i="1"/>
  <c r="I122" i="1" s="1"/>
  <c r="L122" i="1" s="1"/>
  <c r="J123" i="1"/>
  <c r="I123" i="1" s="1"/>
  <c r="L123" i="1" s="1"/>
  <c r="J124" i="1"/>
  <c r="K126" i="1"/>
  <c r="D122" i="1"/>
  <c r="D123" i="1"/>
  <c r="D124" i="1"/>
  <c r="D126" i="1" s="1"/>
  <c r="C126" i="1" s="1"/>
  <c r="I125" i="1"/>
  <c r="L125" i="1" s="1"/>
  <c r="C125" i="1"/>
  <c r="I124" i="1"/>
  <c r="C124" i="1"/>
  <c r="L124" i="1" s="1"/>
  <c r="C123" i="1"/>
  <c r="C122" i="1"/>
  <c r="J68" i="1"/>
  <c r="J70" i="1"/>
  <c r="J76" i="1"/>
  <c r="J77" i="1"/>
  <c r="J81" i="1"/>
  <c r="J87" i="1"/>
  <c r="J90" i="1"/>
  <c r="J91" i="1"/>
  <c r="I91" i="1" s="1"/>
  <c r="L91" i="1" s="1"/>
  <c r="J92" i="1"/>
  <c r="J105" i="1"/>
  <c r="J108" i="1"/>
  <c r="J119" i="1"/>
  <c r="K81" i="1"/>
  <c r="K119" i="1" s="1"/>
  <c r="I119" i="1" s="1"/>
  <c r="K92" i="1"/>
  <c r="C109" i="1"/>
  <c r="L109" i="1"/>
  <c r="I108" i="1"/>
  <c r="L108" i="1" s="1"/>
  <c r="C108" i="1"/>
  <c r="I107" i="1"/>
  <c r="C107" i="1"/>
  <c r="L107" i="1" s="1"/>
  <c r="I106" i="1"/>
  <c r="C106" i="1"/>
  <c r="L106" i="1"/>
  <c r="I105" i="1"/>
  <c r="L105" i="1" s="1"/>
  <c r="C105" i="1"/>
  <c r="I104" i="1"/>
  <c r="L104" i="1" s="1"/>
  <c r="C104" i="1"/>
  <c r="I103" i="1"/>
  <c r="C103" i="1"/>
  <c r="L103" i="1" s="1"/>
  <c r="C102" i="1"/>
  <c r="I102" i="1"/>
  <c r="L102" i="1"/>
  <c r="I100" i="1"/>
  <c r="C100" i="1"/>
  <c r="L100" i="1" s="1"/>
  <c r="I99" i="1"/>
  <c r="C99" i="1"/>
  <c r="L99" i="1"/>
  <c r="I98" i="1"/>
  <c r="L98" i="1" s="1"/>
  <c r="C98" i="1"/>
  <c r="I97" i="1"/>
  <c r="L97" i="1" s="1"/>
  <c r="C97" i="1"/>
  <c r="I96" i="1"/>
  <c r="C96" i="1"/>
  <c r="L96" i="1" s="1"/>
  <c r="I95" i="1"/>
  <c r="C95" i="1"/>
  <c r="L95" i="1"/>
  <c r="I94" i="1"/>
  <c r="L94" i="1" s="1"/>
  <c r="C94" i="1"/>
  <c r="I93" i="1"/>
  <c r="L93" i="1" s="1"/>
  <c r="C93" i="1"/>
  <c r="C92" i="1"/>
  <c r="I92" i="1"/>
  <c r="L92" i="1" s="1"/>
  <c r="C91" i="1"/>
  <c r="I90" i="1"/>
  <c r="L90" i="1" s="1"/>
  <c r="C90" i="1"/>
  <c r="I89" i="1"/>
  <c r="L89" i="1" s="1"/>
  <c r="C89" i="1"/>
  <c r="I88" i="1"/>
  <c r="C88" i="1"/>
  <c r="L88" i="1" s="1"/>
  <c r="I87" i="1"/>
  <c r="C87" i="1"/>
  <c r="L87" i="1"/>
  <c r="I86" i="1"/>
  <c r="L86" i="1" s="1"/>
  <c r="C86" i="1"/>
  <c r="C85" i="1"/>
  <c r="I85" i="1"/>
  <c r="L85" i="1" s="1"/>
  <c r="I84" i="1"/>
  <c r="C84" i="1"/>
  <c r="L84" i="1" s="1"/>
  <c r="I83" i="1"/>
  <c r="C83" i="1"/>
  <c r="L83" i="1"/>
  <c r="I82" i="1"/>
  <c r="L82" i="1" s="1"/>
  <c r="C82" i="1"/>
  <c r="C81" i="1"/>
  <c r="I81" i="1"/>
  <c r="L81" i="1" s="1"/>
  <c r="I80" i="1"/>
  <c r="C80" i="1"/>
  <c r="L80" i="1"/>
  <c r="I79" i="1"/>
  <c r="C79" i="1"/>
  <c r="L79" i="1"/>
  <c r="I78" i="1"/>
  <c r="L78" i="1" s="1"/>
  <c r="C78" i="1"/>
  <c r="I77" i="1"/>
  <c r="L77" i="1" s="1"/>
  <c r="C77" i="1"/>
  <c r="I76" i="1"/>
  <c r="C76" i="1"/>
  <c r="L76" i="1"/>
  <c r="I75" i="1"/>
  <c r="C75" i="1"/>
  <c r="L75" i="1"/>
  <c r="I74" i="1"/>
  <c r="L74" i="1" s="1"/>
  <c r="C74" i="1"/>
  <c r="I73" i="1"/>
  <c r="L73" i="1" s="1"/>
  <c r="C73" i="1"/>
  <c r="I72" i="1"/>
  <c r="C72" i="1"/>
  <c r="L72" i="1"/>
  <c r="I71" i="1"/>
  <c r="C71" i="1"/>
  <c r="L71" i="1"/>
  <c r="I70" i="1"/>
  <c r="L70" i="1" s="1"/>
  <c r="C70" i="1"/>
  <c r="I69" i="1"/>
  <c r="L69" i="1" s="1"/>
  <c r="C69" i="1"/>
  <c r="I68" i="1"/>
  <c r="C68" i="1"/>
  <c r="L68" i="1"/>
  <c r="L65" i="1"/>
  <c r="L64" i="1"/>
  <c r="L63" i="1"/>
  <c r="C55" i="1"/>
  <c r="L55" i="1"/>
  <c r="C54" i="1"/>
  <c r="L54" i="1" s="1"/>
  <c r="C53" i="1"/>
  <c r="L53" i="1"/>
  <c r="C52" i="1"/>
  <c r="L52" i="1" s="1"/>
  <c r="C51" i="1"/>
  <c r="L51" i="1"/>
  <c r="C50" i="1"/>
  <c r="C49" i="1"/>
  <c r="L49" i="1"/>
  <c r="C48" i="1"/>
  <c r="L48" i="1" s="1"/>
  <c r="C47" i="1"/>
  <c r="C46" i="1"/>
  <c r="C45" i="1"/>
  <c r="C44" i="1"/>
  <c r="C43" i="1"/>
  <c r="L43" i="1"/>
  <c r="C42" i="1"/>
  <c r="L42" i="1" s="1"/>
  <c r="C41" i="1"/>
  <c r="L41" i="1"/>
  <c r="C40" i="1"/>
  <c r="L40" i="1" s="1"/>
  <c r="C39" i="1"/>
  <c r="L39" i="1"/>
  <c r="C38" i="1"/>
  <c r="L38" i="1" s="1"/>
  <c r="C37" i="1"/>
  <c r="L37" i="1"/>
  <c r="C36" i="1"/>
  <c r="L36" i="1" s="1"/>
  <c r="C35" i="1"/>
  <c r="L35" i="1"/>
  <c r="C34" i="1"/>
  <c r="L34" i="1" s="1"/>
  <c r="C33" i="1"/>
  <c r="L33" i="1"/>
  <c r="C32" i="1"/>
  <c r="L32" i="1" s="1"/>
  <c r="C31" i="1"/>
  <c r="L31" i="1"/>
  <c r="C30" i="1"/>
  <c r="L30" i="1" s="1"/>
  <c r="C29" i="1"/>
  <c r="L29" i="1"/>
  <c r="C28" i="1"/>
  <c r="L28" i="1" s="1"/>
  <c r="C27" i="1"/>
  <c r="L27" i="1"/>
  <c r="C26" i="1"/>
  <c r="L26" i="1" s="1"/>
  <c r="C25" i="1"/>
  <c r="L25" i="1"/>
  <c r="C24" i="1"/>
  <c r="C23" i="1"/>
  <c r="L23" i="1"/>
  <c r="C22" i="1"/>
  <c r="C21" i="1"/>
  <c r="C20" i="1"/>
  <c r="C19" i="1"/>
  <c r="L19" i="1"/>
  <c r="C18" i="1"/>
  <c r="L18" i="1" s="1"/>
  <c r="C17" i="1"/>
  <c r="L17" i="1"/>
  <c r="C16" i="1"/>
  <c r="C15" i="1"/>
  <c r="L15" i="1"/>
  <c r="J11" i="1"/>
  <c r="J12" i="1" s="1"/>
  <c r="I12" i="1" s="1"/>
  <c r="D11" i="1"/>
  <c r="D12" i="1"/>
  <c r="C12" i="1" s="1"/>
  <c r="C11" i="1"/>
  <c r="I10" i="1"/>
  <c r="C10" i="1"/>
  <c r="I9" i="1"/>
  <c r="C9" i="1"/>
  <c r="L9" i="1"/>
  <c r="I8" i="1"/>
  <c r="L8" i="1" s="1"/>
  <c r="C8" i="1"/>
  <c r="I7" i="1"/>
  <c r="C7" i="1"/>
  <c r="I6" i="1"/>
  <c r="L6" i="1" s="1"/>
  <c r="C6" i="1"/>
  <c r="F351" i="1"/>
  <c r="F350" i="1"/>
  <c r="F349" i="1"/>
  <c r="F348" i="1"/>
  <c r="F347" i="1"/>
  <c r="G333" i="1"/>
  <c r="G352" i="1" s="1"/>
  <c r="F352" i="1" s="1"/>
  <c r="H315" i="1"/>
  <c r="G315" i="1"/>
  <c r="G323" i="1"/>
  <c r="F213" i="1"/>
  <c r="G205" i="1"/>
  <c r="G216" i="1" s="1"/>
  <c r="F216" i="1" s="1"/>
  <c r="F143" i="1"/>
  <c r="F142" i="1"/>
  <c r="G136" i="1"/>
  <c r="F109" i="1"/>
  <c r="H352" i="1"/>
  <c r="F345" i="1"/>
  <c r="F346" i="1"/>
  <c r="F343" i="1"/>
  <c r="F344" i="1"/>
  <c r="F342" i="1"/>
  <c r="H257" i="1"/>
  <c r="G257" i="1"/>
  <c r="F257" i="1" s="1"/>
  <c r="H216" i="1"/>
  <c r="F210" i="1"/>
  <c r="F211" i="1"/>
  <c r="F212" i="1"/>
  <c r="H201" i="1"/>
  <c r="G201" i="1"/>
  <c r="F201" i="1" s="1"/>
  <c r="H193" i="1"/>
  <c r="F193" i="1" s="1"/>
  <c r="G193" i="1"/>
  <c r="F192" i="1"/>
  <c r="H144" i="1"/>
  <c r="G144" i="1"/>
  <c r="F144" i="1" s="1"/>
  <c r="F140" i="1"/>
  <c r="F141" i="1"/>
  <c r="F139" i="1"/>
  <c r="F138" i="1"/>
  <c r="F137" i="1"/>
  <c r="G12" i="1"/>
  <c r="F7" i="1"/>
  <c r="F8" i="1"/>
  <c r="F9" i="1"/>
  <c r="F10" i="1"/>
  <c r="F11" i="1"/>
  <c r="F12"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2" i="1"/>
  <c r="F103" i="1"/>
  <c r="F104" i="1"/>
  <c r="F105" i="1"/>
  <c r="F106" i="1"/>
  <c r="F107" i="1"/>
  <c r="F108" i="1"/>
  <c r="F119" i="1"/>
  <c r="F122" i="1"/>
  <c r="F123" i="1"/>
  <c r="F124" i="1"/>
  <c r="F125" i="1"/>
  <c r="F126" i="1"/>
  <c r="F129" i="1"/>
  <c r="F130" i="1"/>
  <c r="F131" i="1"/>
  <c r="F132" i="1"/>
  <c r="F133" i="1"/>
  <c r="F134" i="1"/>
  <c r="F135" i="1"/>
  <c r="F136" i="1"/>
  <c r="F187" i="1"/>
  <c r="F188" i="1"/>
  <c r="F189" i="1"/>
  <c r="F190" i="1"/>
  <c r="F191" i="1"/>
  <c r="F196" i="1"/>
  <c r="F197" i="1"/>
  <c r="F198" i="1"/>
  <c r="F199" i="1"/>
  <c r="F204" i="1"/>
  <c r="F205" i="1"/>
  <c r="F206" i="1"/>
  <c r="F207" i="1"/>
  <c r="F208" i="1"/>
  <c r="F209" i="1"/>
  <c r="F219"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9" i="1"/>
  <c r="F250" i="1"/>
  <c r="F251" i="1"/>
  <c r="F252" i="1"/>
  <c r="F254" i="1"/>
  <c r="F255" i="1"/>
  <c r="F260" i="1"/>
  <c r="F261" i="1"/>
  <c r="F262" i="1"/>
  <c r="F263" i="1"/>
  <c r="F264" i="1"/>
  <c r="F267" i="1"/>
  <c r="F268" i="1"/>
  <c r="F271" i="1"/>
  <c r="F299" i="1"/>
  <c r="F300" i="1"/>
  <c r="F301" i="1"/>
  <c r="F302" i="1"/>
  <c r="F303" i="1"/>
  <c r="F304" i="1"/>
  <c r="F305" i="1"/>
  <c r="F306" i="1"/>
  <c r="F307" i="1"/>
  <c r="F308" i="1"/>
  <c r="F309" i="1"/>
  <c r="F310" i="1"/>
  <c r="F315" i="1"/>
  <c r="F318" i="1"/>
  <c r="F319" i="1"/>
  <c r="F320" i="1"/>
  <c r="F321" i="1"/>
  <c r="F322" i="1"/>
  <c r="F323" i="1"/>
  <c r="F324" i="1"/>
  <c r="F325" i="1"/>
  <c r="F326" i="1"/>
  <c r="F327" i="1"/>
  <c r="F328" i="1"/>
  <c r="F329" i="1"/>
  <c r="F330" i="1"/>
  <c r="F331" i="1"/>
  <c r="F332" i="1"/>
  <c r="F333" i="1"/>
  <c r="F335" i="1"/>
  <c r="F336" i="1"/>
  <c r="F337" i="1"/>
  <c r="F338" i="1"/>
  <c r="F339" i="1"/>
  <c r="F340" i="1"/>
  <c r="F341" i="1"/>
  <c r="F355" i="1"/>
  <c r="F356" i="1"/>
  <c r="F357" i="1"/>
  <c r="F358" i="1"/>
  <c r="F6" i="1"/>
  <c r="O257" i="1"/>
  <c r="L10" i="1" l="1"/>
  <c r="L7" i="1"/>
  <c r="L12" i="1"/>
  <c r="L183" i="1"/>
  <c r="Q187" i="1"/>
  <c r="F60" i="1"/>
  <c r="L136" i="1"/>
  <c r="L193" i="1"/>
  <c r="C60" i="1"/>
  <c r="I11" i="1"/>
  <c r="L11" i="1" s="1"/>
  <c r="J126" i="1"/>
  <c r="I126" i="1" s="1"/>
  <c r="L126" i="1" s="1"/>
  <c r="J352" i="1"/>
  <c r="I352" i="1" s="1"/>
  <c r="L280" i="1"/>
  <c r="L276" i="1"/>
  <c r="F183" i="1"/>
  <c r="L101" i="1"/>
  <c r="L207" i="1"/>
  <c r="L246" i="1"/>
  <c r="K257" i="1"/>
  <c r="L261" i="1"/>
  <c r="L301" i="1"/>
  <c r="L322" i="1"/>
  <c r="L334" i="1"/>
  <c r="L346" i="1"/>
  <c r="L288" i="1"/>
  <c r="L284" i="1"/>
  <c r="I296" i="1"/>
  <c r="L296" i="1" s="1"/>
  <c r="L282" i="1"/>
  <c r="L164" i="1"/>
  <c r="L160" i="1"/>
  <c r="L156" i="1"/>
  <c r="L152" i="1"/>
  <c r="L148" i="1"/>
  <c r="I45" i="1"/>
  <c r="L45" i="1" s="1"/>
  <c r="I21" i="1"/>
  <c r="L21" i="1" s="1"/>
  <c r="D119" i="1"/>
  <c r="C119" i="1" s="1"/>
  <c r="L119" i="1" s="1"/>
  <c r="C136" i="1"/>
  <c r="J144" i="1"/>
  <c r="I144" i="1" s="1"/>
  <c r="L144" i="1" s="1"/>
  <c r="L56" i="1"/>
  <c r="I240" i="1"/>
  <c r="L240" i="1" s="1"/>
  <c r="I189" i="1"/>
  <c r="L189" i="1" s="1"/>
  <c r="I201" i="1"/>
  <c r="L201" i="1" s="1"/>
  <c r="I226" i="1"/>
  <c r="L226" i="1" s="1"/>
  <c r="L242" i="1"/>
  <c r="I252" i="1"/>
  <c r="L252" i="1" s="1"/>
  <c r="L309" i="1"/>
  <c r="K315" i="1"/>
  <c r="I315" i="1" s="1"/>
  <c r="L315" i="1" s="1"/>
  <c r="I323" i="1"/>
  <c r="L326" i="1"/>
  <c r="D352" i="1"/>
  <c r="C352" i="1" s="1"/>
  <c r="C323" i="1"/>
  <c r="F296" i="1"/>
  <c r="F148" i="1"/>
  <c r="L162" i="1"/>
  <c r="L154" i="1"/>
  <c r="L150" i="1"/>
  <c r="G60" i="1"/>
  <c r="E257" i="1"/>
  <c r="C257" i="1" s="1"/>
  <c r="I257" i="1" l="1"/>
  <c r="L257" i="1" s="1"/>
  <c r="P257" i="1"/>
  <c r="L323" i="1"/>
  <c r="L352" i="1"/>
  <c r="I60" i="1"/>
  <c r="L60" i="1" s="1"/>
</calcChain>
</file>

<file path=xl/sharedStrings.xml><?xml version="1.0" encoding="utf-8"?>
<sst xmlns="http://schemas.openxmlformats.org/spreadsheetml/2006/main" count="1083" uniqueCount="830">
  <si>
    <t>შესრულებული სამუშაოები</t>
  </si>
  <si>
    <t>ადგ.დაფინანსებით</t>
  </si>
  <si>
    <t>სახ.დაფინანსებით</t>
  </si>
  <si>
    <t>ხელშკრულებით</t>
  </si>
  <si>
    <t>ადგ.დაფინანს.</t>
  </si>
  <si>
    <t xml:space="preserve"> სახ.დაფინანს.</t>
  </si>
  <si>
    <t>სულ ფაქტი</t>
  </si>
  <si>
    <t>ფაქტი ადგ.დაფინანს.</t>
  </si>
  <si>
    <t>ფაქტი სახ.დაფინანს.</t>
  </si>
  <si>
    <t>სამუშაოთა შესრულების ვადები</t>
  </si>
  <si>
    <t xml:space="preserve">ხელშეკრულების ნომერი </t>
  </si>
  <si>
    <t>მომწოდებელი</t>
  </si>
  <si>
    <t>02 01 01 01</t>
  </si>
  <si>
    <t>გზების მიდინარე შეკეთება</t>
  </si>
  <si>
    <t>ს.მ</t>
  </si>
  <si>
    <t>სოფელ პატარძეულში რ/ბეტონის მილების ამოსაღებად  მძიმე სპეც-ტექნიკის დაქირავების მომსახურების შესყიდვა.</t>
  </si>
  <si>
    <t>16.04.2021-16.04.2021</t>
  </si>
  <si>
    <t>38/1</t>
  </si>
  <si>
    <t>ი.მ.ზურაბი ხუციშვილი</t>
  </si>
  <si>
    <t xml:space="preserve"> მუნიციპალიტეტის ტერიტორიაზე დაზიანებული შიდა გზების მოხრეშვისთვის საჭირო 100 კუბური მეტრი 0-40 ფრაქციის ქვიშა-ღორღის შესყიდვა.</t>
  </si>
  <si>
    <t>26.04.2021-01.07.2021</t>
  </si>
  <si>
    <t>44/1</t>
  </si>
  <si>
    <t xml:space="preserve">შპს დილა-95 </t>
  </si>
  <si>
    <t xml:space="preserve"> მუნიციპალიტეტის ქ.საგარეჯოსა და მისი სოფლების დაზიანებული ასფალტობეტონის გზის ორმოულის შეკეთების სამუშაოების შესყიდვა.</t>
  </si>
  <si>
    <t>5.05.2021-3.08.2021</t>
  </si>
  <si>
    <t>48/1</t>
  </si>
  <si>
    <t>შპს ჯე-ბილდინგ გრუპი</t>
  </si>
  <si>
    <t>სულ</t>
  </si>
  <si>
    <t>02 01 02</t>
  </si>
  <si>
    <t>ახალი გზების მშენებლობა</t>
  </si>
  <si>
    <t>საგარეჯოს, კახეთის გზატკეცილზე მდებარე №9,11,13,15 საცხოვრებელი კორპუსების ეზოების მოასფალტება-კეთილმოწყობა</t>
  </si>
  <si>
    <t>16.11.2020-01.03.2021</t>
  </si>
  <si>
    <t>შპს მშენებელი</t>
  </si>
  <si>
    <t xml:space="preserve"> სოფელ მანავში მანავის ციხესთან მისასვლელი საავტომობილო გზის მოწყობა (განკ.1573, 19.08.2020)</t>
  </si>
  <si>
    <t>30.09.2020-10.02.2021</t>
  </si>
  <si>
    <t>შპს დინ გრუპი</t>
  </si>
  <si>
    <t>საპროექტო სახარჯთაღრიცხვო დოკუმენტაციის შედგენის ხარჯი</t>
  </si>
  <si>
    <t>02.09.2020-31.12.2020</t>
  </si>
  <si>
    <t>შპს მ-პროექტი</t>
  </si>
  <si>
    <t xml:space="preserve"> სოფელ ხაშმში შესასვლელ გზაზე ა/ბეტონის საფარის მოწყობა განკ 2685, 31.12.2020</t>
  </si>
  <si>
    <t>19.11.2020-21.03.2021</t>
  </si>
  <si>
    <t>კავკასავტომაგისტრალი</t>
  </si>
  <si>
    <t xml:space="preserve"> სოფელ უდაბნოში გზის მოასფალტების სამუშაოები (განკ 2685, 31.12.2020)</t>
  </si>
  <si>
    <t>ქ. საგარეჯოში კახეთის გზატკეცილი N10, 10ა, 12, 12ა, კორპუსების ეზოების მოასფალტება - კეთილმოწყობა განკ.#2685 31.12.2020</t>
  </si>
  <si>
    <t>15.01.2021-15.06.2021 (პირველი ეტაპი) - 31.03.2022 (მეორე ეტაპი)</t>
  </si>
  <si>
    <t>ქ. საგარეჯოში რუსთაველის ქ. № 270, 272, 274 კორპუსების ეზოების მოასფალტება კეთილმოწყობა,განკ.#2685 31.12.2020</t>
  </si>
  <si>
    <t>სოფელ თოხლიაურში შიდა ცენტრალური გზის მოასფალტების სამუშაოების შესყიდვა.განკ 2685, 31.12.2020</t>
  </si>
  <si>
    <t>შპს გარდაბნის საგზაო სამმართველო</t>
  </si>
  <si>
    <t>ქ. საგარეჯოში ე.წ „ქურხულიაანთ უბნის“ მიმდებარედ არსებულ სასაფლაოსთან მისასვლელი გზის (არმირებული ცემენტბეტონით) მოწყობის სამუშაოების შესყიდვა.განკ 2685, 31.12.2020</t>
  </si>
  <si>
    <t>16/1</t>
  </si>
  <si>
    <t>სოფელ ნინოწმინდისა და სოფელ წყაროსთავის დამაკავშირებელი გზის მოასფალტების სამუშაოები.განკ 2685, 31.12.2020</t>
  </si>
  <si>
    <t>23.02.2021-14.05.2021 (პირვ. ეტაპი)-31.03.2021 (მეორე ეტაპი)</t>
  </si>
  <si>
    <t>ქ. საგარეჯოში, კახეთის გზატკეცილის N1 შესახვევის მოასფალტება ე.წ. ,,სოკარის ქუჩა"  განკ.#2630 18.12.2019</t>
  </si>
  <si>
    <t>28.02.2020-27.06.2020</t>
  </si>
  <si>
    <t>30/1</t>
  </si>
  <si>
    <t>შპს ,,როუდ სოლუშენს</t>
  </si>
  <si>
    <t>ქ.საგარეჯოში, ჩოლოყაშვილის ქუჩის მოასფალტება   განკ.#2630 18.12.2019</t>
  </si>
  <si>
    <t>ქ.საგარეჯოში სათავის ქუჩის მოასფალტება და სანიაღვრე არხების მოწყობა  განკ.#2630 18.12.2019</t>
  </si>
  <si>
    <t>ქ.საგარეჯოში , გიორგი ბრწყინვალეს ქუჩის მოასფალტება  განკ.#2630 18.12.2019</t>
  </si>
  <si>
    <t>ქ.საგარეჯოში, გურამიშვილის ქუჩის დარჩენილი მონაკვეთის მოასფალტება   განკ.#2630 18.12.2019</t>
  </si>
  <si>
    <t>ქ. საგარეჯოში, ჯაფარიძის ქუჩაზე ტროტუარების მოწყობა  განკ.#2630 18.12.2019</t>
  </si>
  <si>
    <t>31.01.2020-30.05.2020</t>
  </si>
  <si>
    <t>17/2</t>
  </si>
  <si>
    <t>ქ. საგარეჯოში, ქუჩიშვილის და ტაბიძის ქუჩების მოასფალტება და სანიაღვრე არხების მოწყობა  განკ.#2630 18.12.2019</t>
  </si>
  <si>
    <t>ქ.საგარეჯოში, ვაჟა-ფშაველას ქუჩის მოასფალტება  განკ.#2630 18.12.2019</t>
  </si>
  <si>
    <t>ქ. საგარეჯოში, განთიადის, გორის და თამარ მეფის ქუჩების მოასფალტების  განკ.#2630 18.12.2019</t>
  </si>
  <si>
    <t>ს. პატარძეულში, მონასტერთან მისასვლელი გზის მოასფალტება განკ.#2630 18.12.2019</t>
  </si>
  <si>
    <t>17/1</t>
  </si>
  <si>
    <t>ს.პატარძეულში,ე.წ. ,,ონაანთ" უბნის გზის მოასფალტება განკ.#2630 18.12.2019</t>
  </si>
  <si>
    <t xml:space="preserve"> გიორგიწმინდაში, სასაფლაოს გზაზე რკ/ბეტონის საფარის მოწყობა  განკ.#2630 18.12.2019</t>
  </si>
  <si>
    <t xml:space="preserve"> პატარა ჩაილურში ცენტრალური გზის მოასფალტება  განკ.#2630 18.12.2019</t>
  </si>
  <si>
    <t xml:space="preserve">განკ#2685 </t>
  </si>
  <si>
    <t>ინფრასტრუქტურული პროექტების საპროექტო და სამშენებლო სამუშაოების საზედამხედველო მომსახურება</t>
  </si>
  <si>
    <t>27.02.2020-27.02.2021</t>
  </si>
  <si>
    <t>შპს შპს საინჟინრო მონიტორინგის ჯგუფი</t>
  </si>
  <si>
    <t>21.01.2020-27.02.2021</t>
  </si>
  <si>
    <t>10/2</t>
  </si>
  <si>
    <t>ქ.საგარეჯოში მიმდ კახეთის გზატ#10,10ა,12,12ა კორპ ეზო მოა.სამ ფარ გამოვ გაუთვ. სამუშ ჩას საჭ მას -საკან ჭის ბეტ გად ფილის(თუჯის ხუფით) შეს</t>
  </si>
  <si>
    <t>21.04.2021-</t>
  </si>
  <si>
    <t>შპს შპს G.G GRYP</t>
  </si>
  <si>
    <t>საავტომობილო გზების მშენებლობა (მიმდინარე წელს) საპროექტო სახარჯთაღრიცხვო დოკუმეტაციის შედგენის ხარჯი</t>
  </si>
  <si>
    <t>15.01.2021-31.12.2021</t>
  </si>
  <si>
    <t>შპს შპს თბილგზაპროექტი</t>
  </si>
  <si>
    <t>საგარეჯოს მუნიციპალიტეტში 2021 წლის 30 აპრილს მომხდარი სტიქიის შედეგების სალიკვიდაციო სამუშაოებისთვის სოფელ უჯარმაში ხევზე გადასასვლელი ხიდის მოწყობის საპროექტო-სახარჯთაღრიცხვო დოკუმენტაციის შედგენის მომსახურების შესყიდვა.#330 განკ.11.03.2021</t>
  </si>
  <si>
    <t>28.05.2021-07.06.2021</t>
  </si>
  <si>
    <t>57/1</t>
  </si>
  <si>
    <t>შპს ხუროთმოძღვარი ე და მ</t>
  </si>
  <si>
    <t>საგარეჯოს მუნიციპალიტეტის სოფელ უჯარმაში, ხევზე გადასასვლელი ხიდის მოწყობის სამუშაოები-განკ.#330 11.03.2021</t>
  </si>
  <si>
    <t>3.06.2021-5.08.2021</t>
  </si>
  <si>
    <t>შპს როვერი 2012</t>
  </si>
  <si>
    <t>02 01 03</t>
  </si>
  <si>
    <t>საგზაო ნიშნები და უსაფრთხოება</t>
  </si>
  <si>
    <t xml:space="preserve"> მუნიციპალიტეტში სიჩქარის შემზღუდავი ხელოვნური ბარიერების,საგზაო ჰორიზონტალური მონიშვნებისა და საგაზაო გადასასვლელების (ე.წ ,,ზებრების") მოწყობის სამუშაოები.</t>
  </si>
  <si>
    <t>11.06.2021-30.07.2021</t>
  </si>
  <si>
    <t>65/2</t>
  </si>
  <si>
    <t>შპს როუდ სეიფთი სისტემს</t>
  </si>
  <si>
    <t>02 02 01</t>
  </si>
  <si>
    <t>სასმელი წყლის სისტემის რეაბილიტაცია</t>
  </si>
  <si>
    <t>ს.მ.</t>
  </si>
  <si>
    <t>სასმელი წყლის ჭაბურღილებზე დახარჯული ელენერგიის ხარჯი.აბ.№9701762761, 9310013550</t>
  </si>
  <si>
    <t>წერილი #: 98-20012021-99966; 20/01/2021</t>
  </si>
  <si>
    <t>სს "ენერგო-პრო-ჯორჯია"</t>
  </si>
  <si>
    <t>სოფელ კაკაბეთში წყალმომარაგების სისტემის გამართულად მუშაობისთვის იზოლირებული კაბელის შესყიდვა</t>
  </si>
  <si>
    <t>03.02.2021-04.02.2021</t>
  </si>
  <si>
    <t xml:space="preserve">შპს გეგა 2018 </t>
  </si>
  <si>
    <t>ქ.საგარეჯოსა და მისი სოფლებისთვის სასმელი წყლის ამქაჩი ტუმბოების და მათი კომპლექტების (ახლით) შეძენა მონტაჟი</t>
  </si>
  <si>
    <t>23.12.2020-31.12.2021</t>
  </si>
  <si>
    <t>159/2</t>
  </si>
  <si>
    <t>შპს შპს ახალი მშენებელი 2019</t>
  </si>
  <si>
    <t xml:space="preserve">ქ.საგარეჯოში მშვიდობის ქუჩაზე არსებული სასმელი წყლის ჭაბურღილზე დაზიანებული ძაბვის მარეგულირებლის შეცვლა </t>
  </si>
  <si>
    <t>29.01.2021-3.01.2021</t>
  </si>
  <si>
    <t>ანგი-56</t>
  </si>
  <si>
    <t xml:space="preserve"> ს.კაკაბეთში სასმ.წყლის სისტ. დაცვისა და მართვის ფარის შეძენა-მონტაჟი</t>
  </si>
  <si>
    <t>24.12.2020-3.01.2021</t>
  </si>
  <si>
    <t>შპს აქვა სერვის კომპანი</t>
  </si>
  <si>
    <t>ს.კაკაბეთში ოთხ საქლორატორო შენობაში ტექნიკური დანადგარებისა და მილგაყვანილობის მოწყობის სამუშაოები</t>
  </si>
  <si>
    <t>15.12.2020-29.12.2020</t>
  </si>
  <si>
    <t xml:space="preserve"> სოფელ კაკაბეთში მოწყობილ საქლორატორო შენობაში წყლის დინების რელეების მოწყობის სამუშაოები</t>
  </si>
  <si>
    <t>29.01.2021-31.01.2021</t>
  </si>
  <si>
    <t>9/1</t>
  </si>
  <si>
    <t>სოფ. გიორგიწმინდის წყალმომარაგებისათვის სარკინიგზო ინფრასტრუქტურის "საინჟინრო კომუნიკაციით" (მილებით) გადაკვეთის საფასური</t>
  </si>
  <si>
    <t>სს სს საქართველოს რკინიგზა</t>
  </si>
  <si>
    <t xml:space="preserve">  ჭაბურღილების ფუნქციონირებისათვის ელ.აღრიცხვის კვანძის მოწყობის ხარჯი: სოფ.პატარძულში 4 ცალი,წყაროსთავში,,ბურდიანში,მზისგულში</t>
  </si>
  <si>
    <t>სოფ.კაკაბეთში და სოფ.გომბორში წყალმომარაგებისთვის საქლორატოროსთან  ახალი ელაღრიცხვის კვანძის მოწყობის ხარჯი</t>
  </si>
  <si>
    <t>ქ.საგარეჯოში კახეთის გზატკეცილ #19-ში საერთო საცხოვრებელში დაზიანებული საკანალიზაციო მილის შეცვლა</t>
  </si>
  <si>
    <t>26.01.2021-29.01.2021</t>
  </si>
  <si>
    <t>6/4</t>
  </si>
  <si>
    <t>ი.მ. გიორგი ვარაზიშვილი</t>
  </si>
  <si>
    <t>გომბორის წყალმომარაგების სისტემა განკ.#2630 18.12.2019</t>
  </si>
  <si>
    <t>10.06.2020-2.09.2020</t>
  </si>
  <si>
    <t>შ.პ.ს. ბანი 2007</t>
  </si>
  <si>
    <t>სოფელ კაკაბეთში სასმელი წყლის მიმღები რეზერვუარის შემოღობვისთვის მავთულბადის და საღებავის შესყიდვა</t>
  </si>
  <si>
    <t>23.02.2021-25.02.2021</t>
  </si>
  <si>
    <t xml:space="preserve">შპს ევროპა </t>
  </si>
  <si>
    <t xml:space="preserve"> სოფელ კაზლარის წყალმომარაგების სისტემის მოწყობის სამუშაოები.#2630 18.12.2019განკ.</t>
  </si>
  <si>
    <t>06.05.2020-03.09.2020</t>
  </si>
  <si>
    <t>შპს კაპიტელი</t>
  </si>
  <si>
    <t>სოფ. კაზლარის წყალმომარაგების სისტემის სრულფასოვანი ფუნქციონირებისთვის ახალი ელ. აღრიცხვის კვანძის მოწყობის ხარჯი</t>
  </si>
  <si>
    <t xml:space="preserve"> სოფელ კაკაბეთში სასმელი წყლის მიმღები რეზერვუარის შემოღობვისთვის მავთულბადის შესყიდვა</t>
  </si>
  <si>
    <t>15.03.2021-16.03.2021</t>
  </si>
  <si>
    <t>25/2</t>
  </si>
  <si>
    <t>გიორგიწმინდაში წყალმომარაგების სისტემის მოწყობა მთავრობის  განკ. 2630 18.12.2019</t>
  </si>
  <si>
    <t>03.08.2020-1.12.2020</t>
  </si>
  <si>
    <t>95</t>
  </si>
  <si>
    <t>შპს შპს თერგი</t>
  </si>
  <si>
    <t>სოფელ კაკაბეთში დვრინის წყალზე სადრენაჟე სისტემის მოწყობა-რეაბილიტაციის სამუშაოები განკ.#2159 11.10.2019-15.0ლ; განკ.#1167 9.07.2020-4.06327ლ</t>
  </si>
  <si>
    <t>10.09.2020-10.12.2020</t>
  </si>
  <si>
    <t>114</t>
  </si>
  <si>
    <t>შპს ჯითიჰოლდინგი</t>
  </si>
  <si>
    <t>სოფელ ხაშმში სასმელის წყლის მაგისტრალური მილის შესაკეთებლად ტექნიკის დაქირავების მომსახურების შესყიდვა</t>
  </si>
  <si>
    <t>15.03.2021-23.03.2021</t>
  </si>
  <si>
    <t>25/3</t>
  </si>
  <si>
    <t xml:space="preserve">ზურაბი ხუციშვილი </t>
  </si>
  <si>
    <t xml:space="preserve"> პატარძეულში ლეკიაანთ უბანში წყალმომარაგების ქსელის რეაბილიტაციის, ამავე სოფელში ადმინისტრაციული შენობის მიმდებარედ წყალმომარაგების ჭაბურღილისა და სამარაგო რეზერვუარის მოწყობისა და ეკლესიის მიმდებარედ წყალმომარაგების ჭაბურღილისა და სამარაგო რეზერვუარის მოწყობის სამუშაოები</t>
  </si>
  <si>
    <t>26.01.2021-26.04.2021</t>
  </si>
  <si>
    <t>შპს ჰიდროგეო</t>
  </si>
  <si>
    <t xml:space="preserve">სასმელი წყლის სისტემის მოწყობის ინფრასტრუქტურული პროექტების საპროექტო და სამშენებლო სამუშაოებზე საზედამხედველო მომსახურება </t>
  </si>
  <si>
    <t>27.02.2021-31.02.2021</t>
  </si>
  <si>
    <t>29</t>
  </si>
  <si>
    <t>შპს ,,საინჟინრო მონიტორინგის ჯგუფი"</t>
  </si>
  <si>
    <t xml:space="preserve"> 2021-2022 წლებში განსახორციელებელი წყალმომარაეგბისა და წყალარინების ქელების (სისტემების) მოწყობისა და რეაბილიტაციისათვის საჭირო საპროექტო-სახარჯთაღრიცხვო დოკუმენტაციის შედგენის მომსახურება.</t>
  </si>
  <si>
    <t>12.01.2021-31.12.2021</t>
  </si>
  <si>
    <t>შპს ელკო</t>
  </si>
  <si>
    <t>საგარეჯოს მუნიციპალიტეტის ე.წ ,,ხაშმის დაჩებამდე" სასმელი წყლის ქსელი მოწყობის სამუშაოები.</t>
  </si>
  <si>
    <t>15.03.2021-14.04.2021</t>
  </si>
  <si>
    <t>შპს მაია</t>
  </si>
  <si>
    <t xml:space="preserve"> პატარძეულში ბერთუბანში წყალმომარაგების ქსელის რეაბილიტაციისა და საგარეჯოს მუნიციპალიტეტის სოფელ წყაროსთავში ჭაბურღილის მოწყობის სამუშაოები</t>
  </si>
  <si>
    <t>6/1</t>
  </si>
  <si>
    <t>გიორგიწმინდაში ჭაბურღილების, შემკრები რეზერვუარების და სატუმბი სადგურის მოწყობის სამუშაოებიგანკ#2685 31.12.2020</t>
  </si>
  <si>
    <t>01.03.2021-30/05/2021-პირველი ეტაპი 31/03/2022 - მეორე ეტაპი</t>
  </si>
  <si>
    <t>შპს თერგი</t>
  </si>
  <si>
    <t>ქალაქ საგარეჯოში კოსტავას ქუჩაზე N14 და N16 კორპუსების წყალმომარაგების - სასმელი წყლის სისტემის მოწყობის სამუშაოების შესყიდვა</t>
  </si>
  <si>
    <t>30.11.2020-14.01.2021</t>
  </si>
  <si>
    <t xml:space="preserve"> სოფელ შიბლიანის წყალმომარაგების სისტემის რეაბილიტაციის სამუშაოების შესყიდვა</t>
  </si>
  <si>
    <t>20.10.2020-27.12.2020</t>
  </si>
  <si>
    <t>132/2</t>
  </si>
  <si>
    <t>შ.პ.ს.სეისმოსერვისი</t>
  </si>
  <si>
    <t>სოფელ ბურდიანის წყალსადენის ჭაბურღილის და მაგისტრალური მილსადენის მოწყობის სამუშაოების შესყიდვა</t>
  </si>
  <si>
    <t>20.10.2020-14.12.2021</t>
  </si>
  <si>
    <t>132/1</t>
  </si>
  <si>
    <t>შ.პ.ს. ბურღი</t>
  </si>
  <si>
    <t xml:space="preserve"> სოფელ მზისგულის წყალმომარაგების სისტემის რეაბილიტაციის სამუშაოების შესყიდვა</t>
  </si>
  <si>
    <t>20.10.2020-14.12.2020</t>
  </si>
  <si>
    <t>განკ.#2630</t>
  </si>
  <si>
    <t>განკ.#557</t>
  </si>
  <si>
    <t>განკ.#1577</t>
  </si>
  <si>
    <t>განკ.#2159</t>
  </si>
  <si>
    <t>განკ.#2577</t>
  </si>
  <si>
    <t>განკ.#1167</t>
  </si>
  <si>
    <t>სოფ. კაკაბეთში სასმელი წყლის ქსელის მოწყობა II ეტაპი განკ.#2630</t>
  </si>
  <si>
    <t>20.03.2020-</t>
  </si>
  <si>
    <t>28/1</t>
  </si>
  <si>
    <t>უცხ.საწ.ფილ. კლასიკ-სტროი</t>
  </si>
  <si>
    <t>სოფ. კაზლარის წყალმომარაგებისთვის საქლორატოროსთან ახალი ელ.აღრიცხვის კვანძის მოწყობის ხარჯი</t>
  </si>
  <si>
    <t>ს.მზისგულში მოწყობილი ჭაბურღილის ტუმბოს ფუნქციონირების მიზნით 30 მეტრი სადენის შესყიდვა</t>
  </si>
  <si>
    <t>26.04.2021-28.04.2021</t>
  </si>
  <si>
    <t>44</t>
  </si>
  <si>
    <t>შპს შპს  გეგა 2018</t>
  </si>
  <si>
    <t>მუნიციპალიტეტის ტერიტორიაზე არსებული სასმელი წყლის სისტემების მომსახურებისთვის საჭირო მასალების შესყიდვა.</t>
  </si>
  <si>
    <t>05.05.2021-31.12.2021</t>
  </si>
  <si>
    <t>48</t>
  </si>
  <si>
    <t>შპს უნივერსალი 2020</t>
  </si>
  <si>
    <t xml:space="preserve"> სოფელ კაკაბეთის სასმელი წყლის სისტემის რეაბილიტაციის - სასმელი წყლის ამქაჩი ტუმბოების სრული კომპლექტაციის შეძენა-მონტაჟის სამუშაოები.</t>
  </si>
  <si>
    <t>28.04.2021-2.06.2021</t>
  </si>
  <si>
    <t>46/1</t>
  </si>
  <si>
    <t>შპს G.SERVICE</t>
  </si>
  <si>
    <t>18.06.2021-6.08.2021</t>
  </si>
  <si>
    <t>68</t>
  </si>
  <si>
    <t>შპს ბურღი</t>
  </si>
  <si>
    <t>ბადიაურის სასმელი წყლისთვის ვარგისი რეზერვუარის შესყიდვა.</t>
  </si>
  <si>
    <t>18.05.2021-07.06.2021</t>
  </si>
  <si>
    <t>53</t>
  </si>
  <si>
    <t>02 03 01</t>
  </si>
  <si>
    <t>გარე განათების ქსელის ექსპლოატაცია</t>
  </si>
  <si>
    <t xml:space="preserve">ქუჩების გარეგანათებაზე დახარჯული ელენერგიის ხარჯი. </t>
  </si>
  <si>
    <t>ქუჩების გარე განათების ტექნიკური მომსახურება</t>
  </si>
  <si>
    <t>31.12.2020-31.12.2021</t>
  </si>
  <si>
    <t>163</t>
  </si>
  <si>
    <t>ი.მ. ვახტანგ ესაიაშვილი</t>
  </si>
  <si>
    <t>02 03 02</t>
  </si>
  <si>
    <t>გარე განათების ახალი წერტილების მოწყობა</t>
  </si>
  <si>
    <t>სოფ.გომბორში გარე განათების ახალი ელ.აღრიცხვის კვანძის მოწყობის ხარჯი</t>
  </si>
  <si>
    <t>სოფ. უჯარმაში გარეგანათების ახალი ელ.აღრიცხვის კვანძის(3 ცალი) მოწყობის ხარჯი</t>
  </si>
  <si>
    <t xml:space="preserve"> სოფელ უჯარმაში, სოფელ ნინოწმინდაში და სოფელ ლამბალოში გარე განათების სისტემის გამართულად მუშაობისთვის ელ.სადენის შესყიდვა</t>
  </si>
  <si>
    <t>08.02.2021-20.02.2021</t>
  </si>
  <si>
    <t>სოფ ქვემო ლამბალოში და სოფ.ქვემო ლამბალოში ახალი ელ.აღრიცხვის კვანძის მოწყობის ხარჯი</t>
  </si>
  <si>
    <t>ნაშთი #955 3.05.2018 განკ.</t>
  </si>
  <si>
    <t>სოფ. გიორგიწმინდის ე.წ." აჭარლების დასახლებაში" გარე განათების ახალი ელ. აღრიცხვის კვანძის მოწყობის ხარჯი</t>
  </si>
  <si>
    <t>საგარეჯოს მუნიციპალიტეტის სოფელ გიოგიწმინდაში გარე განათების მოწყობის სამუშაოების შესყიდვა.</t>
  </si>
  <si>
    <t>17.05.2021-31.08.2021</t>
  </si>
  <si>
    <t>52/1</t>
  </si>
  <si>
    <t>შპს გჯ2019</t>
  </si>
  <si>
    <t>02 04</t>
  </si>
  <si>
    <t>ავარიული შენობების და სახლების რეაბილიტაცია</t>
  </si>
  <si>
    <t>ქ.საგარეჯოში რუსთაველის ქუჩაზე მცხ.გ.მალახოვის სტიქიის მიერ დაზარალებული საცხ.სახლის სახურავის მოწყობა სარეზ.ბრძ#36 5.02.2021</t>
  </si>
  <si>
    <t>23.10.2020-22.12.2020</t>
  </si>
  <si>
    <t>135/2</t>
  </si>
  <si>
    <t xml:space="preserve"> შპს მაია</t>
  </si>
  <si>
    <t>ს.გიორგიწმინდაში მცხ.ბ.კევლიშვილის სტიქიის მიერ დაზარალებული საცხ.სახლის სახურავის მოწყობა სარეზ.ბრძ#42 15.02.2021</t>
  </si>
  <si>
    <t>27.10.2020-26.12.2020</t>
  </si>
  <si>
    <t>136/5</t>
  </si>
  <si>
    <t>22.01.2021-31.12.2021</t>
  </si>
  <si>
    <t>4</t>
  </si>
  <si>
    <t>ამხანაგობა "ბამბლი"</t>
  </si>
  <si>
    <t>ნაშთი #250 2.02.2018 განკ.</t>
  </si>
  <si>
    <t>ნაშთი სარეზ.ბრძ#42 15.02.</t>
  </si>
  <si>
    <t>მუნიციპალიტეტში 2021 წლის 30 აპრილს მომხდარი სტიქიის შედეგების სალიკვიდაციო სამუშაოებისთვის სახარჯთაღრიცხვო დოკუმენტაციის შედგენის მომსახურების შესყიდვა. განკ.#330 2021წ.</t>
  </si>
  <si>
    <t>13.05.2021-02.06.2021</t>
  </si>
  <si>
    <t>50/2</t>
  </si>
  <si>
    <t>შპს ნემო ლ და დ (438112114)</t>
  </si>
  <si>
    <t>საგარეჯოს მუნიციპალიტეტში 2021 წლის 30 აპრილს მომხდარი სტიქიის შედეგების სალიკვიდაციო სამუშაოების შესყიდვა.განკ.#330 2021წ.</t>
  </si>
  <si>
    <t>14.05.2021-31.05.2021</t>
  </si>
  <si>
    <t>51</t>
  </si>
  <si>
    <t>ინდივიდუალური მეწარმე გიორგი სეფაშვილი (45001003591)</t>
  </si>
  <si>
    <t>მუნიც.ს.ხაშმში მცხ.ალ.თევდორაშვილის სტიქიით დაზიანებული საცხ.სახლის სახურავის შეკეთების სამუშაოები განკ.#330 2021წ.</t>
  </si>
  <si>
    <t>25.05.2021-</t>
  </si>
  <si>
    <t>56/2</t>
  </si>
  <si>
    <t>ი/მ გიორგი სეფაშვილი</t>
  </si>
  <si>
    <t>საგარეჯოს მუნიციპალიტეტში 2021 წლის 30 აპრილს მომხდარი სტიქიის შედეგების სალიკვიდაციო სამუშაოების შესყიდვა - საგარეჯოს მუნიციპალიტეტის სოფელ ხაშმში მცხოვრები ნახუცრიშვილი იოსების სტიქიით დაზიანებული საცხოვრებელი სახლის საძირკვლის შეკეთება. განკ.#330 2021წ.</t>
  </si>
  <si>
    <t>07.06.2021-12.07.2021</t>
  </si>
  <si>
    <t>63</t>
  </si>
  <si>
    <t>როინი ფირყულაშვილი (36001034839)</t>
  </si>
  <si>
    <t>07.06.2021-17.06.2021</t>
  </si>
  <si>
    <t>63/1</t>
  </si>
  <si>
    <t xml:space="preserve"> საპროექტო და სამშენებლო სამუშაოებზე საზედამხედველო მომსახურება </t>
  </si>
  <si>
    <t>27.02.2020-28.02.2021</t>
  </si>
  <si>
    <r>
      <t xml:space="preserve"> </t>
    </r>
    <r>
      <rPr>
        <sz val="8"/>
        <color indexed="8"/>
        <rFont val="Sylfaen"/>
        <family val="1"/>
        <charset val="204"/>
      </rPr>
      <t>შპს</t>
    </r>
    <r>
      <rPr>
        <sz val="8"/>
        <color indexed="8"/>
        <rFont val="Calibri"/>
        <family val="2"/>
        <charset val="204"/>
      </rPr>
      <t xml:space="preserve"> ,,</t>
    </r>
    <r>
      <rPr>
        <sz val="8"/>
        <color indexed="8"/>
        <rFont val="Sylfaen"/>
        <family val="1"/>
        <charset val="204"/>
      </rPr>
      <t>საინჟინრო</t>
    </r>
    <r>
      <rPr>
        <sz val="8"/>
        <color indexed="8"/>
        <rFont val="Calibri"/>
        <family val="2"/>
        <charset val="204"/>
      </rPr>
      <t xml:space="preserve"> </t>
    </r>
    <r>
      <rPr>
        <sz val="8"/>
        <color indexed="8"/>
        <rFont val="Sylfaen"/>
        <family val="1"/>
        <charset val="204"/>
      </rPr>
      <t>მონიტორინგის</t>
    </r>
    <r>
      <rPr>
        <sz val="8"/>
        <color indexed="8"/>
        <rFont val="Calibri"/>
        <family val="2"/>
        <charset val="204"/>
      </rPr>
      <t xml:space="preserve"> </t>
    </r>
    <r>
      <rPr>
        <sz val="8"/>
        <color indexed="8"/>
        <rFont val="Sylfaen"/>
        <family val="1"/>
        <charset val="204"/>
      </rPr>
      <t>ჯგუფი</t>
    </r>
    <r>
      <rPr>
        <sz val="8"/>
        <color indexed="8"/>
        <rFont val="Calibri"/>
        <family val="2"/>
        <charset val="204"/>
      </rPr>
      <t>"</t>
    </r>
  </si>
  <si>
    <t>სტიქიის შედეგად დაზიანებული 5 საცხოვრებელი სახლის სარეაბილიტაციო სამუშაოების განხორციელებასარეზ.ბრძ.#ბ52.52211542 3.06.</t>
  </si>
  <si>
    <t>02 05</t>
  </si>
  <si>
    <t>კეთილმოწყობა</t>
  </si>
  <si>
    <t>02 05 01</t>
  </si>
  <si>
    <t>საზოგადოებრივი სივრცეების მოწყობა-რეაბილიტაცია, ექსპლოატაცია</t>
  </si>
  <si>
    <t>საკადასტრო აზომვითი მომსახურებები</t>
  </si>
  <si>
    <t>29.01.2020-31.12.2020</t>
  </si>
  <si>
    <t>15/1</t>
  </si>
  <si>
    <t>ი/მ მამუკა უნაფქოშვილი</t>
  </si>
  <si>
    <t>მუნიციპალიტეტის ბალანსზე რიცხული სოფ.გომბორში მდებარე სასოფლო-სამეურნეო(სათიბი) დანიშნულების მიწის ნაკვეთის წლიური საუჯარო ქირის განსაზღვრა</t>
  </si>
  <si>
    <t>15.012021-15.03.2021</t>
  </si>
  <si>
    <t>3/1</t>
  </si>
  <si>
    <t>ლ.სამხარაულის სახ.ერ.ექსპერტიზის ბიურო</t>
  </si>
  <si>
    <t>საექსპერტო მომსახურების გაწევა,ექსპეტის დასკვნის ან აქტის დასკვნის შედგენის შეუძლებლობის შესახებ გაცემა.</t>
  </si>
  <si>
    <t>25.01.2021-28.02.2022</t>
  </si>
  <si>
    <t>5/4</t>
  </si>
  <si>
    <t>კახეთის გზატკეცილზე მდებარე საგარეჯოს მუნიციპალიტეტის მერიის საკუთრებაში არსებულ სარეკლამო ხიდზე, სარეკლამო ბანერის დამზადების მომსახურების შესყიდვა თანმდევი მომსახურებით (მონტაჟი და დემონტაჟი).</t>
  </si>
  <si>
    <t>31.05.2021-03.06.2021</t>
  </si>
  <si>
    <t>58/2</t>
  </si>
  <si>
    <t>შალვა იოსებაშვილი (20001006212)</t>
  </si>
  <si>
    <t>02 05 02</t>
  </si>
  <si>
    <t>შენობის ფასადების რეაბილიტაცია</t>
  </si>
  <si>
    <t>საპროექტო-სახარჯთაღრიცხვო დოკუმენტაციის შედგენის ხარჯი</t>
  </si>
  <si>
    <t>შპს თბილგაზპროექტი</t>
  </si>
  <si>
    <t xml:space="preserve"> სხვადასხვა სახის ინფრასტრუქტურის სამშენებლო-სარეაბილიტაციო სამუშაოებისათვის, მათ შორის შენობა-ნაგებობების დემონტაჟის სამუშაოებისათვის საჭირო საპროექტო-სახარჯთაღრიცხვო დოკუმენტაციის შედგენის მომსახურების შესყიდვა.</t>
  </si>
  <si>
    <t>ქ. საგარეჯოში კულტურის სახლის შენობის სახურავზე დაზიანებული სახურავის შეცვლის სამუშაოების შესყიდვა.</t>
  </si>
  <si>
    <t>02.06.2021-16.06.2021</t>
  </si>
  <si>
    <t>60/3</t>
  </si>
  <si>
    <t>შპს ნიკოლოზი</t>
  </si>
  <si>
    <t>ქალაქ საგარეჯოში ადმინისტრაციული შენობის ფასადის შეკეთების სამუშაოების შესყიდვა.</t>
  </si>
  <si>
    <t>19.03.2021-23.04.2021</t>
  </si>
  <si>
    <t>ი/მ ველოდ სანაია</t>
  </si>
  <si>
    <t>02 06</t>
  </si>
  <si>
    <t>სარწყავი არხების და ნაპირსამაგრი ნაგებობების მოწყობა, რეაბილიტაცია და ექსპლოატაცია</t>
  </si>
  <si>
    <t>სოფელ გიორგიწმინდაში სანიაღვრე არხებისა და ლითონის ცხაურების მოწყობის სამუშაოების შესყიდვა.</t>
  </si>
  <si>
    <t>13.05.2021-10.06.2021</t>
  </si>
  <si>
    <t>შპს რეხა 2020</t>
  </si>
  <si>
    <t>15.06.2021-27.07.2021</t>
  </si>
  <si>
    <t>ნაშთი #557 15.03.2019 განკ.</t>
  </si>
  <si>
    <t>ქ. საგარეჯოში ერეკლე მეორეს ქუჩაზე სანიაღვრე არხებისა და ლითონის ცხაურების მოწყობის სამუშაოები.</t>
  </si>
  <si>
    <t>25.06.2021-06.07.2021</t>
  </si>
  <si>
    <t>72/1</t>
  </si>
  <si>
    <t>შპს ჯემინ ჯორჯია</t>
  </si>
  <si>
    <t xml:space="preserve">02 08 </t>
  </si>
  <si>
    <t>სოფლის მხარდაჭერის პროგრამა</t>
  </si>
  <si>
    <t>მუნიციპალიტეტის სოფლებში გარე განათების მოწყობის სამუშაოები (განკ 2752, 31.12.2019)</t>
  </si>
  <si>
    <t>17.12.2020-18.01.2021</t>
  </si>
  <si>
    <t>ი/მ ვახტანგი ესაიაშვილი</t>
  </si>
  <si>
    <t>ნაშთი #45 22.01.2019</t>
  </si>
  <si>
    <t>ნაშთი #2752 31.12.2019</t>
  </si>
  <si>
    <t>სოფ. ხაშმის ამბულატორიის შენობისთვის ბ/აირის აღრიცხვის კვანძის მოწყობის ხარჯი განკ#168.5.02.2021</t>
  </si>
  <si>
    <t>შპს, შპს სოკარ ჯორჯია გაზი</t>
  </si>
  <si>
    <t>ქუჩის ტრენაჟორების მოწყობა განკ#168.5.02.2021: ს.ვერხვიანში</t>
  </si>
  <si>
    <t>25.05.2021-27.07.2021</t>
  </si>
  <si>
    <t>56/1</t>
  </si>
  <si>
    <t>ი/მ ალექსანდრე დიღმელაშვილი</t>
  </si>
  <si>
    <t xml:space="preserve">ს.ნინოწმინდაში </t>
  </si>
  <si>
    <t xml:space="preserve">ს.უდაბნოში </t>
  </si>
  <si>
    <t xml:space="preserve"> ს.ვაშლიანში სასმელი წყლის მილის შეცვლის  სამუშაოები განკ#168.5.02.2021</t>
  </si>
  <si>
    <t>02.06.2021-23.06.2021</t>
  </si>
  <si>
    <t>შპს შპს სხივი 2030</t>
  </si>
  <si>
    <t xml:space="preserve"> გარე განათების მოწყობის სამუშაოები განკ#168.5.02.2021: ს.ზემო ლამბალოში</t>
  </si>
  <si>
    <t>18.05.2021-20.07.2021</t>
  </si>
  <si>
    <t>53/1</t>
  </si>
  <si>
    <t>ი/მ ანა ლაფერიშვილი</t>
  </si>
  <si>
    <t xml:space="preserve"> ს.მუღანლოში  </t>
  </si>
  <si>
    <t xml:space="preserve"> ს.ქეშალოში </t>
  </si>
  <si>
    <t>ს.პატარძეულში</t>
  </si>
  <si>
    <t>ს.კაზლარში</t>
  </si>
  <si>
    <t>ს.თულარში</t>
  </si>
  <si>
    <t>წიწმატიანში</t>
  </si>
  <si>
    <t>პალდოში</t>
  </si>
  <si>
    <t xml:space="preserve"> ქუჩის ტრენაჟორების მოწყობა განკ#168.5.02.2021: ს.პატარა ჩაილურში</t>
  </si>
  <si>
    <t>შპს ბურჯი 2008</t>
  </si>
  <si>
    <t xml:space="preserve">ს.ანთოკსა და მარიამჯვარში </t>
  </si>
  <si>
    <t xml:space="preserve">ს.მზისგულში </t>
  </si>
  <si>
    <t>სოფლის მხარდაჭერის პროგრამის ფარგლებში  სრული საპროექტო-სახარჯთაღრიცხვო დოკუმენტაციის შედგენის მომსახურების შესყიდვა.განკ#168.5.02.2021</t>
  </si>
  <si>
    <t>29.04.2021-19.05.2021</t>
  </si>
  <si>
    <t>47/1</t>
  </si>
  <si>
    <t xml:space="preserve">ი.მ.დავითი კავთუაშვილი </t>
  </si>
  <si>
    <t>სოფლის მხარდაჭერის პროგრამის ფარგლებში სრული საპროექტო-სახარჯთაღრიცხვო დოკუმენტაციის შედგენის მომსახურების შესყიდვა.განკ#168.5.02.2021</t>
  </si>
  <si>
    <t>18.06.2021-22.06.2021</t>
  </si>
  <si>
    <t>68/1</t>
  </si>
  <si>
    <t>03.06.2021-05.08.2021</t>
  </si>
  <si>
    <t>61/1</t>
  </si>
  <si>
    <t xml:space="preserve">შპს ბურჯი -2008 </t>
  </si>
  <si>
    <t>04.06.2021-23.07.2021</t>
  </si>
  <si>
    <t>62/1</t>
  </si>
  <si>
    <t xml:space="preserve">ი.მ.ზურაბი დევდარიანი </t>
  </si>
  <si>
    <t xml:space="preserve">ი.მ. ვახტანგი ესაიაშვილი </t>
  </si>
  <si>
    <t>04.06.2021-06.08.2021</t>
  </si>
  <si>
    <t>ი.მ. ალექსანდრე დიღმელაშვილი.</t>
  </si>
  <si>
    <t>10.06.2021-22.07.2021</t>
  </si>
  <si>
    <t>64/2</t>
  </si>
  <si>
    <t>საგარეჯოს მუნიციპალიტეტის სოფელ რუსიანში სკვერის მოწყობის სამუშაოების შესყიდვა.განკ#168.5.02.2021</t>
  </si>
  <si>
    <t>02.06.2021-30.06.2021</t>
  </si>
  <si>
    <t>60/1</t>
  </si>
  <si>
    <t>ი. მ. ზაქარია დარისპანაშვილი.</t>
  </si>
  <si>
    <t>03 01 01</t>
  </si>
  <si>
    <t>დასუფთავება და ნარჩენების გატანა</t>
  </si>
  <si>
    <t xml:space="preserve"> ქ. საგარეჯოს ქუჩების დასუფთავება და დაგვა, წყალსადინარი არხების გაწმენდის, ცენტრალური ქუჩებისა და ტროტუარების თოვლისგან/ყინულისაგან გაწმენდის მომსახურება</t>
  </si>
  <si>
    <t>პროგრესი 2011</t>
  </si>
  <si>
    <t>სოფლებსა და ქ.საგარეჯოს ქუჩებში მუნიც.მიერ განთავსებული ნაგავშემკრები კონტეინერებიდან საყოფაცხოვრებო ნარჩენების გატანა</t>
  </si>
  <si>
    <t>24.12.2020-31.12.2021</t>
  </si>
  <si>
    <t>160/1</t>
  </si>
  <si>
    <t>ს.ბადიაურში ადმინისტრაც.შენობის მიმდ.ტერიტორიის შესაწამლად შხამქიმიკატის 20კგ.კლინერ ექსტრას შესყიდვა</t>
  </si>
  <si>
    <t>39/1</t>
  </si>
  <si>
    <t>შპს შპს აგრონომი</t>
  </si>
  <si>
    <t>03 02</t>
  </si>
  <si>
    <t>მწვანე ნარგავების მოვლა-პატრონობა, განვითარება</t>
  </si>
  <si>
    <t>60/2</t>
  </si>
  <si>
    <t>დავითი კავთუაშვილი</t>
  </si>
  <si>
    <t>კაპიტალური დაბანდებანი დასუფთავების სფეროში</t>
  </si>
  <si>
    <t>200 ცალი პლასტმასის ნაგავშემკრები კონტეინერის შესყიდვა</t>
  </si>
  <si>
    <t>16.04.2021-</t>
  </si>
  <si>
    <t>შპს უნიკაპი</t>
  </si>
  <si>
    <t>04 02</t>
  </si>
  <si>
    <t>სკოლამდელი დაწესებულებების რეაბილიტაცია, მშენებლობა</t>
  </si>
  <si>
    <t>სოფელ უდაბნოში ყოფილი საბავშვო ბაღის შენობის #34 და 35 ოთახების მიმდინარე შეკეთების სამუშაოები.</t>
  </si>
  <si>
    <t>25.01.2021-11.03.2021</t>
  </si>
  <si>
    <t>შპს ნიუ</t>
  </si>
  <si>
    <t xml:space="preserve"> სოფელ მანავის #1 საბავშვო ბაღის სკოლამდელი აღსაზრდელებისთვის, სამგზავრო სატრანსპორტო საშუალებების დაქირავება (მძღოლთან ერთად) </t>
  </si>
  <si>
    <t>16.03.2021-25.12.2021</t>
  </si>
  <si>
    <t>26/1</t>
  </si>
  <si>
    <t>გია დუჩიძე</t>
  </si>
  <si>
    <t xml:space="preserve"> სოფელ გომბორის საბავშო ბაღის სკოლამდელი აღსაზრდელებისთვის, სამგზავრო სატრანსპორტო საშუალებების დაქირავება (მძღოლთან ერთად) </t>
  </si>
  <si>
    <t>გიორგი ხუმარაშვილი</t>
  </si>
  <si>
    <t>26.03.2021-25.12.2021</t>
  </si>
  <si>
    <t>ქ. საგარეჯოს #2 სკოლამდელი აღზრდის დაწესებულების რეაბილიტაციის სამუშაოები</t>
  </si>
  <si>
    <t>15.03.2021-14.05.2021</t>
  </si>
  <si>
    <t>25/1</t>
  </si>
  <si>
    <t>შპს რაზმაძე და კომპანია</t>
  </si>
  <si>
    <t>ნაშთი #136 18.01.2018-0.50, #955 12.03.2015-0.12</t>
  </si>
  <si>
    <t>ტრანსპორტირების თანხა</t>
  </si>
  <si>
    <t>31</t>
  </si>
  <si>
    <t>ი/მ ალექსი მამუკაშვილი</t>
  </si>
  <si>
    <t>13.05.-24.06.2021</t>
  </si>
  <si>
    <t>50/1</t>
  </si>
  <si>
    <t>შპს ანგი-56</t>
  </si>
  <si>
    <t>განკ.#2502</t>
  </si>
  <si>
    <t>04 04</t>
  </si>
  <si>
    <t>საჯარო სკოლების მცირე სარეაბილიტაციო სამუშაოები და მოსწავლეთა ტრანსპორტირების უზრუნველყოფა</t>
  </si>
  <si>
    <t>სოფელ იორმუღანლოს საჯარო სკოლის რეაბილიტაციის სამუშაოების შესყიდვა (განკ 27 ,  09.01.2020)</t>
  </si>
  <si>
    <t>18.11.2020-28.11.2020</t>
  </si>
  <si>
    <t>146/1</t>
  </si>
  <si>
    <t xml:space="preserve">შპს ბანი 2007 </t>
  </si>
  <si>
    <t>სოფელ მუღანლოს საჯარო სკოლის სარეაბილიტაციო სამუშაოები.განკ.#27 9.01.2020</t>
  </si>
  <si>
    <t>22.06.2020-6.08.2020</t>
  </si>
  <si>
    <t>76/1</t>
  </si>
  <si>
    <t>შპს ბანი 2007</t>
  </si>
  <si>
    <t>სკოლის მოსწავლეებისთვის სატრანსპორტო მომსახურების შესყიდვა (განკ 147 04.01.2021)</t>
  </si>
  <si>
    <t>26.01.2021-28.02.2021</t>
  </si>
  <si>
    <t>6/2</t>
  </si>
  <si>
    <t>შპს ბინუ</t>
  </si>
  <si>
    <t>სკოლის მოსწავლეებისთვის სატრანსპორტო მომსახურების შესყიდვა (განკ 27, 09.01.2020)</t>
  </si>
  <si>
    <t>სკოლის მოსწავლეებისთვის სატრანსპორტო მომსახურების შესყიდვა (განკ 13, 18.01.2019)</t>
  </si>
  <si>
    <t>სოფელ უჯარმის საჯარო სკოლის შენობის ნაწილობრივი სარეაბილიტაციო სამუშაოების (სანიტარული კვანძი) შესყიდვა განკ.#27 9.01.2020</t>
  </si>
  <si>
    <t>4.08.2020-13.09.2020</t>
  </si>
  <si>
    <t>96/3</t>
  </si>
  <si>
    <t>შპს ხელმარჯვე ოსტატები</t>
  </si>
  <si>
    <t xml:space="preserve"> სოფ.კოჭბაანის საჯარო სკოლის  შენობის  ნაწილის სარემონტო  სამუშაოების (სან კვან) შესრულებაგანკ.#27 9.01.2020</t>
  </si>
  <si>
    <t>96/4</t>
  </si>
  <si>
    <t xml:space="preserve"> შპს ხელმარჯვე ოსტატები</t>
  </si>
  <si>
    <t>სოფელ მზისგულის საჯარო სკოლის სარეაბილიტაციო სამუშაოები.განკ.#27 9.01.2020</t>
  </si>
  <si>
    <t>22.06.2021-06.08.2020</t>
  </si>
  <si>
    <t>ქ.საგარეჯოს #3 საჯარო სკოლის შენობის ნაწილობრივი სარეაბილიტაციო სამუშაოების (სანიტარული კვანძი) შესყიდვაგანკ.#27 9.01.2020</t>
  </si>
  <si>
    <t>96/1</t>
  </si>
  <si>
    <t>შპს იმპერტინენტე </t>
  </si>
  <si>
    <t xml:space="preserve"> დიდი ჩაილურის საჯარო სკოლის შენობის ნაწილობრივი სარეაბილიტაციო სამუშაოების (სანიტარული კვანძი) შესყიდვაგანკ.#27 9.01.2020</t>
  </si>
  <si>
    <t>04.08.2021-13.09.2020</t>
  </si>
  <si>
    <t>96/2</t>
  </si>
  <si>
    <t xml:space="preserve"> დუზაგრამის საჯარო სკოლის შენობის ნაწილობრივი სარეაბილიტაციო სამუშაოების (სანიტარული კვანძი) შესყიდვაგანკ.#27 9.01.2020</t>
  </si>
  <si>
    <t>96</t>
  </si>
  <si>
    <t>ნაშთი #13 18.01.2019</t>
  </si>
  <si>
    <t>ნაშთი #27 9.01.2020</t>
  </si>
  <si>
    <t>25.02.2021-31.12.2021</t>
  </si>
  <si>
    <t>19</t>
  </si>
  <si>
    <t>შპს შპს ბინუ</t>
  </si>
  <si>
    <t>05 01 03</t>
  </si>
  <si>
    <t>სპორტული ობიექტების აღჭურვა, რეაბილიტაცია, მშენებლობა</t>
  </si>
  <si>
    <t>სოფელ მანავში არსებული მინი სტადიონის რეაბილიტაციის სამუშაოები.</t>
  </si>
  <si>
    <t>5/1</t>
  </si>
  <si>
    <t>კახეთის გზატკეც.#12ა მიმდებარედ მინი სტადიონის სარეაბილიტაციო სამუშაოები,ნაშთი განკ.#557 18.03.2020</t>
  </si>
  <si>
    <t>7.07.2020-21.08.2020</t>
  </si>
  <si>
    <t>შპს ,,თბილისი"</t>
  </si>
  <si>
    <t>სოფელ გომბორში საჭიდაო დარბაზის რეაბილიტაციის სამუშაოები.( განკ.N2630; 18.12.2019)</t>
  </si>
  <si>
    <t>07.04.2020-02.08.2020</t>
  </si>
  <si>
    <t>შპს ამ-ჯორჯია</t>
  </si>
  <si>
    <t xml:space="preserve"> სოფელ უდაბნოში მინი სტადიონის მოწყობის სამუშაოების შესყიდვა</t>
  </si>
  <si>
    <t>133/1</t>
  </si>
  <si>
    <t>შპს თბილისი</t>
  </si>
  <si>
    <t>ცენტრ.სტადიონზე დაზიანებული საფეხბურთო კარის ბადეების და საფეხბურთო კარებების უკან მოწყობილი დამცავი ბადეების შესყიდვა</t>
  </si>
  <si>
    <t>10.03.2020-13.03.2021</t>
  </si>
  <si>
    <t>ნაშთი განკ#136 18.01.2018</t>
  </si>
  <si>
    <t>ნაშთი განკ#1577  10.07.2019</t>
  </si>
  <si>
    <t>მინი სტადიონების მოწყობა სოფლებში:ნინოწმინდა,პატარძეული,გომბორი,პატარა ჩაილური,ბადიაური,თულარი,დუზაგრამა.</t>
  </si>
  <si>
    <t>21.05.2021-23.07.2021</t>
  </si>
  <si>
    <t>55/3</t>
  </si>
  <si>
    <t>შპს დეკა</t>
  </si>
  <si>
    <t>სპორტული დარბაზების ინფრასტრუქტურული პროექტების საპროექტო და სამშენებლო სამუშაოების საზედამხედველო მომსახურება</t>
  </si>
  <si>
    <t>27.02.2020-21.02.2021</t>
  </si>
  <si>
    <t>საგარეჯოს მუნიციპალიტეტის სოფელ უდაბნოში სპორტული დარბაზის მშენებლობის სამუშაოების შესყიდვა.</t>
  </si>
  <si>
    <t>10.06.2021-07.10.2021</t>
  </si>
  <si>
    <t>შპს ბეგი ჯორჯია</t>
  </si>
  <si>
    <t>21.01.2020-28.02.2021</t>
  </si>
  <si>
    <t>10/1</t>
  </si>
  <si>
    <t>64/1</t>
  </si>
  <si>
    <t>შ.პ.ს.ტერმინალი</t>
  </si>
  <si>
    <t>ქალაქ საგარეჯოში დავით აღმაშენებლის ქუჩა #37ა-ში მდებარე ცენტრალურ სტადიონზე ტრენაჟორების მოწყობისა და სოფელ უდაბნოში არსებულ მინი სტადიონის დახაზვისა და რეზინის კროშკის გაშლის სამუშაოები.</t>
  </si>
  <si>
    <t>28.04.2021-9.06.2021</t>
  </si>
  <si>
    <t>46</t>
  </si>
  <si>
    <t>შ.პ.ს. მაია</t>
  </si>
  <si>
    <t>17.05.2021-28.06.2021</t>
  </si>
  <si>
    <t>52</t>
  </si>
  <si>
    <t>შ.პ.ს. ჯი აი სი</t>
  </si>
  <si>
    <t>17.05.2021-19.07.2021</t>
  </si>
  <si>
    <t>52/2</t>
  </si>
  <si>
    <t>შ.პ.ს. საგზაო 333</t>
  </si>
  <si>
    <t>55</t>
  </si>
  <si>
    <t>55/1</t>
  </si>
  <si>
    <t>55/2</t>
  </si>
  <si>
    <t>55/4</t>
  </si>
  <si>
    <t>65</t>
  </si>
  <si>
    <t>11.06.2021-13.08.2021</t>
  </si>
  <si>
    <t>65/1</t>
  </si>
  <si>
    <t>06 01 02</t>
  </si>
  <si>
    <t>სოფლის ამბულატორიების ხელშეწყობა და ჯანდაცვის ობიექტების მშენებლობა-რეაბილიტაცია</t>
  </si>
  <si>
    <t>უდაბნოს ექიმის მომსახურება</t>
  </si>
  <si>
    <t>განკ.#554 15.03.2019</t>
  </si>
  <si>
    <t>საგარეჯოს მუნიციპაალიტეტის 2021 წლის სამი კვარტლით   გათვალისწინებული ინფრასტრუქტურულ პროგრამაში გათვალისწინებული პროცედურების შესახებ</t>
  </si>
  <si>
    <t>სამი  კვარტლის გეგმა</t>
  </si>
  <si>
    <t>სამი კვარტ.დაფინან. %</t>
  </si>
  <si>
    <t>კოდიდან ცივის მიმართულებით  ძლიერი წვიმების შედეგად დაზიანებული გზის რეაბ მიზ ბულ და მისი ოპერა დაქ</t>
  </si>
  <si>
    <t xml:space="preserve"> შპს სხივი 2030</t>
  </si>
  <si>
    <t>18,03,2021-</t>
  </si>
  <si>
    <t>შპს ჯეო-როუდ</t>
  </si>
  <si>
    <t>16,07,2021-</t>
  </si>
  <si>
    <t>შპს შპს  ენ-დი როუდი</t>
  </si>
  <si>
    <t xml:space="preserve"> ს.უდაბნოში ჩიჩხიტურის კოშკთან მისასვლელი გზის მშენებლობა</t>
  </si>
  <si>
    <t>28,06,2021-</t>
  </si>
  <si>
    <t>შპს შპს დინ გრუპი</t>
  </si>
  <si>
    <t>შპს შპს კავკას როუდი</t>
  </si>
  <si>
    <t>ქ.საგარეჯოში ვაჩნაძე-ქუჩიშვილის ქუჩაზე და სოფელ ლამბალოში სასმ.წყლის ჭაბურღილებთან მოსაწყობი ძაბვის მარეგულირებელი სტაბილიზატორების შესყიდვა</t>
  </si>
  <si>
    <t>86/4</t>
  </si>
  <si>
    <t>სასმელი წყლის ჭაბურღილებზე  დახარჯული ელენერგიის ხარჯი.  აბ.№9701762761,  9310013550</t>
  </si>
  <si>
    <t xml:space="preserve"> სს ეპ ჯორჯია მიწოდება</t>
  </si>
  <si>
    <t>ს.უჯარმაში მდებარე ს.უდაბნოსა და ს.სათაფლეს  სათავე ნაგებობებზე წყლის შემაკავებელი ფარის მოწყობა</t>
  </si>
  <si>
    <t>85</t>
  </si>
  <si>
    <t>ი/მ როინი ფირყულაშვილი</t>
  </si>
  <si>
    <t>სოფ. პატარძ სკოლამდ აღზრ დაწ არსებული სასმელი წყლის ჭაბურღილზე  ახალი სამფაზიანი 380ვ სიმძლავრის აღრიცხვის კვანძის მოწყობის საფასური</t>
  </si>
  <si>
    <t>ქუჩების გარეგანათებაზე დახარჯული ელენერგიის ხარჯი. აბ.№9700153353,9701837917,9610000301,9310008652,9610000121,9610000312.</t>
  </si>
  <si>
    <t>ქუჩების გარეგანათებაზე დახარჯული ელენერგიის ხარჯი. აბ.№9700153353.</t>
  </si>
  <si>
    <t>სხივი 2020</t>
  </si>
  <si>
    <t>ს.მანავში  არსებული მრავალბინიანი საცხ.სახლის (პირველი კორპუსის) სახურავის მოწყობის სამუშაოები</t>
  </si>
  <si>
    <t>88</t>
  </si>
  <si>
    <t>შპს იმერეთი 2014</t>
  </si>
  <si>
    <t>სოფელ პატარძეულში შიოს ეკლესიასთან სანიაღვრე სისტემისა და ლითონის ცხაურების მოწყობის სამუშაოები</t>
  </si>
  <si>
    <t>18,08,2021-</t>
  </si>
  <si>
    <t>75/1</t>
  </si>
  <si>
    <t xml:space="preserve"> შპს ნიუ ქონსთრაქშენი</t>
  </si>
  <si>
    <t>75/2</t>
  </si>
  <si>
    <t>75/3</t>
  </si>
  <si>
    <t>72/2</t>
  </si>
  <si>
    <t>ი/მ ნოდარ ხებრელაშვილი</t>
  </si>
  <si>
    <t>ს.წყაროსთავის საბავშვო ბაღის ეზოს მოწყობის სამუშაოები  გN168</t>
  </si>
  <si>
    <t>ს.გიორგიწმინდაში საჭიდაო მოედნის მოწყობის სამუშაოები გN168</t>
  </si>
  <si>
    <t>ს.ხაშმში ამბულატორიაში ცენტრალური გათბობის მოწყობის სამუშაოები გN168</t>
  </si>
  <si>
    <t>ს.სათაფლეში სკვერის მოწყობის სამუშაოები გN168</t>
  </si>
  <si>
    <t>ს.თოხლიაურში სკვერის მოწყობის სამუშაოები გN168</t>
  </si>
  <si>
    <t>გრანტის თანხა მიუსაფარი შინაური ცხოველების მართვასთან დაკავშირებით</t>
  </si>
  <si>
    <t>ქ.საგარეჯოს #1, ს.კაკაბეთის #2 და ს.ნინოწმინდის საბავშვო ბაღებში საქვაბეების გამოტანის სამუშაოები</t>
  </si>
  <si>
    <t>83/1</t>
  </si>
  <si>
    <t>99</t>
  </si>
  <si>
    <t>შპს მეტალ +</t>
  </si>
  <si>
    <t>შპს მარტვილმშენი</t>
  </si>
  <si>
    <t>ს.ყანდაურაში მინი მოედნის რეაბილიტაციისა და ხელოვნური საფარის მოწყობის სამუშაოები</t>
  </si>
  <si>
    <t>ს.ბადიაურში მინი მოედნის რეაბილიტაციისა და ხელოვნური საფარის მოწყობის სამუშაოები</t>
  </si>
  <si>
    <t>70/1</t>
  </si>
  <si>
    <t>სასარგებლო წიაღისეულის მოპოვების ლიცენზიისაგან 3 თვით განთავისუფლების საფასური</t>
  </si>
  <si>
    <t>ერთიანი ანგარიში; სხვა შემოსულობები; ცენტრალიზებული</t>
  </si>
  <si>
    <t>102/1</t>
  </si>
  <si>
    <t>შპს ნიუ გრუპი</t>
  </si>
  <si>
    <t>ქ.საგარეჯოსა და მუნიც.სოფლებისთვის სასმელი წყლის ამქაჩი ტუმბოების და მათი კომპლექტების(ახლით) შეძენა-მონტაჟის  შესყიდვა</t>
  </si>
  <si>
    <t>13,08,2021-</t>
  </si>
  <si>
    <t>შპს ახალი მშენებელი 2019</t>
  </si>
  <si>
    <t>24,08,2021-</t>
  </si>
  <si>
    <t>100/1</t>
  </si>
  <si>
    <t>შპს დავითი</t>
  </si>
  <si>
    <t>105/3</t>
  </si>
  <si>
    <t>ი.მ. გელა რევაზიშვილი</t>
  </si>
  <si>
    <t>ს.დიდი და პატარა ჩაილურისთვის სარწყავი წყლის ტუმბოს შესყიდვა</t>
  </si>
  <si>
    <t>ს.პატარძეულში მცხოვრები ალ.სოფრომაძის სტიქიით დაზიანებული საცხოვრებელი სახლის სახურავის მოწყობის სამუშაოები   მთ. 11,03,2021 განN330</t>
  </si>
  <si>
    <t xml:space="preserve"> ს.გიორგიწმინდის საბავშვო ბაღის რეაბილიტაციის სამუშაოები</t>
  </si>
  <si>
    <t>31,08,2021-</t>
  </si>
  <si>
    <t>103</t>
  </si>
  <si>
    <t>ს.მანავის #1 საბავშვო ბაღში საქვაბეების გამოტანის სამუშაოები</t>
  </si>
  <si>
    <t>ს.მანავის #2 საბავშვო ბაღში საქვაბეების გამოტანის სამუშაოები</t>
  </si>
  <si>
    <t>ს.ბადიაურის საბავშვო ბაღში საქვაბეების გამოტანის სამუშაოები</t>
  </si>
  <si>
    <t>08,09,2021-</t>
  </si>
  <si>
    <t>107/1</t>
  </si>
  <si>
    <t>02 07</t>
  </si>
  <si>
    <t>სასაფლაოების მოვლა და შემოღობვა</t>
  </si>
  <si>
    <t>ს.პატარძეულში ე.წ. აჭარელების დასახლებაში სასაფლაოების შემოღობვის სამუშაოები</t>
  </si>
  <si>
    <t xml:space="preserve"> შპს ბუკა</t>
  </si>
  <si>
    <t>11,08,2021-</t>
  </si>
  <si>
    <t>93/3</t>
  </si>
  <si>
    <t>საგარეჯოს მუნიციპალიტეტში 2021 წლის 30 აპრილს მომხდარი სტიქიის შედეგების სალიკვიდაციო სამუშაოების შესყიდვა - საგარეჯოს მუნიციპალიტეტის სოფელ უჯარმაში მცხოვრები ყარყარაშვილი ცეზარის სტიქიით დაზიანებული საცხოვრებელი სახლის სახურავის შეკეთება.   გან N330</t>
  </si>
  <si>
    <t>სკოლის მოსწავლეების სატრანსპორტო მომსახურების შესყიდვა გან N147</t>
  </si>
  <si>
    <t>86/3</t>
  </si>
  <si>
    <t>.საგარეჯოში 9 აპრილის ქუჩაზე გარე განათების  მოწყობის  სამუშაოები</t>
  </si>
  <si>
    <t>110/1</t>
  </si>
  <si>
    <t>105/1</t>
  </si>
  <si>
    <t>შპს შპს ხუროთმოძღვარი &lt;ე და მ&gt;</t>
  </si>
  <si>
    <t>ი/მ გელა რევაზიშვილი</t>
  </si>
  <si>
    <t>09,09,2021-</t>
  </si>
  <si>
    <t>108</t>
  </si>
  <si>
    <t>108/1</t>
  </si>
  <si>
    <t xml:space="preserve">შპს შპს  ბურჯი -2008 </t>
  </si>
  <si>
    <t>შემოსავალი ხელშეკრულების პირობების დარღვევის გამო დაკისრებული პირგასამტეხლოდან(შ.პ.ს "ეგო"ს/კ 439418621)</t>
  </si>
  <si>
    <t>ერთიანი ანგარიში; სხვა შემოსულობები; საგარეჯო</t>
  </si>
  <si>
    <t>შპს შპს ეგო</t>
  </si>
  <si>
    <t>103/1</t>
  </si>
  <si>
    <t>მუნიციპალიტეტის ტერიტორიაზე მდებარე უძრავი ქონების საკადასტრო აზომვითი-აგეგმვითი ნახაზების შედგენის მომსახურება</t>
  </si>
  <si>
    <t>23</t>
  </si>
  <si>
    <t>შპს ერისი</t>
  </si>
  <si>
    <t>ქ.საგარეჯოში სათავის და წერეთლის  ქუჩებზე სანიაღვრე სისტემისა და ლითონის ცხაურების მოწყობის სამუშაოები</t>
  </si>
  <si>
    <t>ქ.საგარეჯოში ჩოლოყაშვილის ქუჩაზე სანიაღვრე სისტემისა და ლითონის ცხაურების მოწყობის სამუშაოები</t>
  </si>
  <si>
    <t>ქ.საგარეჯოში ერისთავის ქუჩაზე სანიაღვრე სისტემისა და ლითონის ცხაურების მოწყობის სამუშაოები</t>
  </si>
  <si>
    <t>სოფელ ბოტკოში სასმელი წყლის სათავის მოწყობის სამუშაოები</t>
  </si>
  <si>
    <t>ი/მ ზურაბი დევდარიანი</t>
  </si>
  <si>
    <t>84/1</t>
  </si>
  <si>
    <t xml:space="preserve"> ს.თოხლიაურში სკოლამდელი აღზრდის დაწესებულების სარეაბილიტაციო სამუშაოები</t>
  </si>
  <si>
    <t>110/3</t>
  </si>
  <si>
    <t xml:space="preserve"> ამხანაგობა "ველი+"</t>
  </si>
  <si>
    <t xml:space="preserve"> ს.პატარძეულის N1 საბავშვო  ბაღის სარეაბილიტციო სამუშაოები</t>
  </si>
  <si>
    <t>21.10.2020-20.12.2021</t>
  </si>
  <si>
    <t>ს.დუზაგრამაში ქუჩის ტრენაჟორების მოწყობის სამუშაოები</t>
  </si>
  <si>
    <t>ს.მუღანლოში ქუჩის ტრენაჟორების მოწყობის სამუშაოები</t>
  </si>
  <si>
    <t>შპს შპს  ბურჯი -2008</t>
  </si>
  <si>
    <t>22.09.-31.12.2021</t>
  </si>
  <si>
    <t>26,08,-31.12.2021</t>
  </si>
  <si>
    <t>06,07,-13.07.2021</t>
  </si>
  <si>
    <t>18,03,2021-16.06.2021</t>
  </si>
  <si>
    <t>25,06,2021-15.07.2021</t>
  </si>
  <si>
    <t>16,07,2021-3.09.2021</t>
  </si>
  <si>
    <t>04,08,2021-5.10.2021</t>
  </si>
  <si>
    <t>23,07,2021-18.02.2022</t>
  </si>
  <si>
    <t>101/1</t>
  </si>
  <si>
    <t>საგარეჯოს მუნიციპალიტეტის ბალანსზე არსებული ვიდეოსათვალთვალო კამერების მოვლა-პატრონობის მომსახურების შესყიდვა</t>
  </si>
  <si>
    <t>28.08-31.03.2023</t>
  </si>
  <si>
    <t>შპს დელტა კონსალტინგი</t>
  </si>
  <si>
    <t>23,07,-26.07.2021</t>
  </si>
  <si>
    <t>5.08.2021</t>
  </si>
  <si>
    <t>22,07,-27.07.2021-</t>
  </si>
  <si>
    <t>25.08.2021</t>
  </si>
  <si>
    <t>20.01.2021</t>
  </si>
  <si>
    <t>102</t>
  </si>
  <si>
    <t>შპს სხივი 2030</t>
  </si>
  <si>
    <t>26.08.-24.10.2021</t>
  </si>
  <si>
    <t>წერილი #: 10212-05082021-70452</t>
  </si>
  <si>
    <t>წერილი #: 98-20012021-99966</t>
  </si>
  <si>
    <t>31.08.2021</t>
  </si>
  <si>
    <t>წერილი #: 11240-31082021-71759</t>
  </si>
  <si>
    <t>26.02.2021</t>
  </si>
  <si>
    <t>წერილი #: 2607-26022021-26013</t>
  </si>
  <si>
    <t>14,09,-21.09.2021</t>
  </si>
  <si>
    <t>14,09,-28.09.2021</t>
  </si>
  <si>
    <t>12,08,-26.08.2021</t>
  </si>
  <si>
    <t>17.09.2021</t>
  </si>
  <si>
    <t>წერილი #: 12209-17092021-93734</t>
  </si>
  <si>
    <t>23.09.2021</t>
  </si>
  <si>
    <t>წერილი #: 12503-23092021-44730</t>
  </si>
  <si>
    <t>10.06.2021</t>
  </si>
  <si>
    <t>წერილი #: 7283-10062021-26542</t>
  </si>
  <si>
    <t>9.03.2021</t>
  </si>
  <si>
    <t>წერილი #: 2985-09032021-58730</t>
  </si>
  <si>
    <t>10.09.-10.10.2021</t>
  </si>
  <si>
    <t>შპს ახალი კომპანია 2018</t>
  </si>
  <si>
    <t>28,07,-1.09.2021</t>
  </si>
  <si>
    <t>24,08,-12.10.2021</t>
  </si>
  <si>
    <t>06,09,-20.09.2021-</t>
  </si>
  <si>
    <t>06,09,-10.09.2021</t>
  </si>
  <si>
    <t>09,09.-21.10.2021-</t>
  </si>
  <si>
    <t>09,09,-16.09.2021</t>
  </si>
  <si>
    <t>31,08,-5.09.2021</t>
  </si>
  <si>
    <t>97/2</t>
  </si>
  <si>
    <t>18.08.-22.09.2021</t>
  </si>
  <si>
    <t>85/1</t>
  </si>
  <si>
    <t>22.07.-12.08.2021</t>
  </si>
  <si>
    <t>88/1</t>
  </si>
  <si>
    <t>28.07.-1.09.2021</t>
  </si>
  <si>
    <t>97/1</t>
  </si>
  <si>
    <t>შპს ზზ კონსტრაქშენ</t>
  </si>
  <si>
    <t>18.08.-6.10.2021</t>
  </si>
  <si>
    <t>108/2</t>
  </si>
  <si>
    <t>9.09.-21.10.2021</t>
  </si>
  <si>
    <t>105/2</t>
  </si>
  <si>
    <t>6.09.-10.09.2021</t>
  </si>
  <si>
    <t xml:space="preserve">შპს ხუროთმოძღვარი &lt;ე და მ&gt; </t>
  </si>
  <si>
    <t>106</t>
  </si>
  <si>
    <t>7.09.-5.10.2021</t>
  </si>
  <si>
    <t>108/3</t>
  </si>
  <si>
    <t>დავითი კავთუაშვილი (36001005402)</t>
  </si>
  <si>
    <t>05,03,-31.12.2021</t>
  </si>
  <si>
    <t>93/.2</t>
  </si>
  <si>
    <t>113/2</t>
  </si>
  <si>
    <t>86/2</t>
  </si>
  <si>
    <t>86/1</t>
  </si>
  <si>
    <t>23.07.-11.03.2022</t>
  </si>
  <si>
    <t>18.02.-18.02.2022</t>
  </si>
  <si>
    <t>23.07.-1.11.2021</t>
  </si>
  <si>
    <t>2.08.-1.11.2021</t>
  </si>
  <si>
    <t>11.08.-8.09.2021</t>
  </si>
  <si>
    <t>შპს ტუმბო</t>
  </si>
  <si>
    <t>22.09.-27.09.2021</t>
  </si>
  <si>
    <t>18,08,-6.10.2021</t>
  </si>
  <si>
    <t>13.07.-16.07.2021</t>
  </si>
  <si>
    <t>21.01.2020-21.01.2021</t>
  </si>
  <si>
    <t>16,07,-1.10.2021</t>
  </si>
  <si>
    <t>20,08,-19.11.2021</t>
  </si>
  <si>
    <t>31,08,2021-30.11.2021</t>
  </si>
  <si>
    <t>08,09,-24.11.2021</t>
  </si>
  <si>
    <t>14,09,-16.11.2021</t>
  </si>
  <si>
    <t>88/2</t>
  </si>
  <si>
    <t>88/3</t>
  </si>
  <si>
    <t>110/2</t>
  </si>
  <si>
    <t>93/1</t>
  </si>
  <si>
    <t>23,06,-11.08.2021</t>
  </si>
  <si>
    <t>22.09.2021</t>
  </si>
  <si>
    <t>წერილი #: 12418-22092021-98046</t>
  </si>
  <si>
    <t>წერილი #: 12497-23092021-13538</t>
  </si>
  <si>
    <t>28.07.-29.09.2021</t>
  </si>
  <si>
    <t>14.09.-19.10.2021</t>
  </si>
  <si>
    <t>11.08.-22.09.2021</t>
  </si>
  <si>
    <t>შპს მარტვილ მშენი</t>
  </si>
  <si>
    <t>ქ. საგარეჯოში ჯაფარიძის ქუჩაზე ტრენაჟორების მოწყობის სამუშაოების შესყიდვა.</t>
  </si>
  <si>
    <t>6.09.2021</t>
  </si>
  <si>
    <t>წერილი #: 11478-06092021-59585</t>
  </si>
  <si>
    <t>04.03.-2.06.2021</t>
  </si>
  <si>
    <t>18.02.-19.05.2021</t>
  </si>
  <si>
    <t>18.02.-18.06.2021</t>
  </si>
  <si>
    <t xml:space="preserve">სულ 11.16844-9.75882 წ.წ.გადახდილია </t>
  </si>
  <si>
    <t>სულ1300.73501-2022-ში 500.73701 გადსახდ.</t>
  </si>
  <si>
    <t>ეკონომია 1.80476</t>
  </si>
  <si>
    <t xml:space="preserve">სულ 709.46948-382.36486 წ.წ.გადახდილია </t>
  </si>
  <si>
    <t>სულ 693.95890-644.49583 წ.წ.გადახდილია</t>
  </si>
  <si>
    <t>სულ 177.70259-82.70489 წ.წ.გადახდილია</t>
  </si>
  <si>
    <t>სულ 1197.219-1138.42234 წ.წ.გადახდილია</t>
  </si>
  <si>
    <t>71</t>
  </si>
  <si>
    <t>24.06.-30.06.2021</t>
  </si>
  <si>
    <t>112/1</t>
  </si>
  <si>
    <t xml:space="preserve"> გიორგი ვარაზიშვილი </t>
  </si>
  <si>
    <t>17.09.-17.10.2021</t>
  </si>
  <si>
    <t>110/5</t>
  </si>
  <si>
    <t>სოფელ დიდი ჩაილურის სკოლამდელი აღზრდის დაწესებულების რეალიბიტაციის სამუშაოების შესყიდვა.</t>
  </si>
  <si>
    <t>შპს მეგა - 8</t>
  </si>
  <si>
    <t>14.09.-14.12.2021</t>
  </si>
  <si>
    <t>110/4</t>
  </si>
  <si>
    <t>14.09.-16.11.2021</t>
  </si>
  <si>
    <t>ქ.საგარეჯოში ჭავჭავაძის ქ#18-ში მცხ.დ.ნუკრაძის სტიქიით დაზიანებული სახოვრებელი სახლის სახურავის შეკეთების რეაბილიტაცია ბ.52211542 3.06.2021-43551.62; საბიუჯეტო 985.81</t>
  </si>
  <si>
    <t>ს.ვერხვიანში მცხ.ნ.საგინაშვილის და ქ.საგარეჯოში გორის ქ#4-ში მცხ.მზია ბიჩინაშვილის სტიქიით დაზიანებული სახლის სახურ შესაკ სამშე მას შეს.სარეზ.#52212389 26.08.2021</t>
  </si>
  <si>
    <t>ქ.საგარეჯოში კახეთის ქ#127-ში მცხოვრები მანანა ფენაშვილის, ჯაფარიძის ქუჩოს მე-13 შეს.#4-ში მცხოვრები ზურაბი ალექსაშვილი და რუსთაველის ქ #208-ში მცხოვრები ნანი შუბითიძის სტიქიის შედეგად დაზიანებული საცხოვრებელი სახლების სახურავების მოწყობის სამუშაოების შესყიდვა განკ.#330 11.03.2021</t>
  </si>
  <si>
    <t>109/1</t>
  </si>
  <si>
    <t>109/2</t>
  </si>
  <si>
    <t>საგარეჯოს მუნიციპალიტეტში 2021 წლის 6-7 ივლისს მომხდარი სტიქიის შედეგების სალიკვიდაციო სამუშაოებისთვის სახარჯთაღრიცხვო დოკუმენტაციის შედგენის მომსახურების შესყიდვა მთ. 11,03,2021 განN330</t>
  </si>
  <si>
    <t>ს.დიდ ჩაილურში მცხ.ვ.საგინაშვილის სტიქიის მიერ დაზიანებული საცხოვრებელი სახლის სახურავის მოწყობის სამუშაოები მთ. 11,03,2021 განN330</t>
  </si>
  <si>
    <t>ს.დიდ ჩაილურში მცხ.მ.საგინაშვილის სტიქიის მიერ დაზიანებული საცხოვრებელი სახლის სახურავის მოწყობის სამუშაოები მთ. 11,03,2021 განN330</t>
  </si>
  <si>
    <t>ს.დიდ ჩაილურში მცხ.ე.ჯაჭვაძის სტიქიის მიერ დაზიანებული საცხოვრებელი სახლის სახურავის მოწყობის სამუშაოები მთ. 11,03,2021 განN330</t>
  </si>
  <si>
    <t>ს.დიდ ჩაილურში მცხ.ზ.მჭედლიშვილის სტიქიის მიერ დაზიანებული საცხოვრებელი სახლის სახურავის მოწყობის სამუშაოები მთ. 11,03,2021 განN330</t>
  </si>
  <si>
    <t xml:space="preserve">ნოდარ ხებრელაშვილი </t>
  </si>
  <si>
    <t xml:space="preserve">შპს ნიუ ქონსთრაქშენი </t>
  </si>
  <si>
    <t xml:space="preserve">დავითი კავთუაშვილი </t>
  </si>
  <si>
    <t xml:space="preserve">ზაქარია დარისპანაშვილი </t>
  </si>
  <si>
    <t>01.06.-3.08.2021</t>
  </si>
  <si>
    <t>02,07,-30.07.2021</t>
  </si>
  <si>
    <t>25,06,-23.07.2021</t>
  </si>
  <si>
    <t>19,07,-16.08.2021</t>
  </si>
  <si>
    <t>19.04.-29.04.2021</t>
  </si>
  <si>
    <t>სოფელ ბადიაურში სასაფლაოსთან  მისასვლელი გზის რეაბილიტაცია  განკ#2685, 31.12.2020</t>
  </si>
  <si>
    <t xml:space="preserve"> სოფელ მანავში, არსებულ სკოლამდელი აღზრდის დაწესებულებასთან მისასვლელი გზის მოასფალტება განკ#2685, 31.12.2020</t>
  </si>
  <si>
    <t xml:space="preserve"> ქ. საგარეჯოში კახეთის ქუჩის მოასფალტება  განკ#2685, 31.12.2020</t>
  </si>
  <si>
    <t xml:space="preserve"> ქ.  საგარეჯოში შოთა რუსთაველისა და კახეთის ქუჩების დამაკავშირებელი (მე-8 ქუჩის) ქუჩისა და ქალაქ საგარეჯოში კახეთის ქუჩის მოასფალტების სამუშაოები განკ#2685, 31.12.2020</t>
  </si>
  <si>
    <t>განკ#136-0.00047, #39-0.00002, #480-0.00043,#2630-0.00369</t>
  </si>
  <si>
    <t>განკ#1573</t>
  </si>
  <si>
    <t>ek</t>
  </si>
  <si>
    <t>საგარეჯოს მუნიციპალიტეტში 2021 წლის14 აგვისტოს მომხდარი სტიქიის შედეგების სალიკვიდაციო სამუშაოებისთვის სახარჯთაღრიცხვო დოკუმენტაციის შედგენის მომსახურების შესყიდვა მთ. 11,03,2021 განN330</t>
  </si>
  <si>
    <t>ქ.საგარეჯოში მცხოვრები თამაზ დარბაისელის, ვასილი ლუკაშვილის, სოფელ გიორგიწმინდაში მცხოვრები გიორგი კევლიშვილის და სოფელ მანავში მცხოვრები ლილი საბაშვილის  სტიქიის შედეგად დაზიანებული საცხოვრებელი სახლების სახურავების მოწყობის სამუშაოების შესყიდვა მთ. 11,03,2021 განN330</t>
  </si>
  <si>
    <t>მთ. 11,03,2021 განN330</t>
  </si>
  <si>
    <t>განკ#168.5.02.2021</t>
  </si>
  <si>
    <t>გან N147</t>
  </si>
  <si>
    <t>სტიქიის შედეგად დაზიანებული საცხოვრებელი სახლების სახურავების სარეაბილიტაციო სამუშაოები ბ52.522118739  6.07</t>
  </si>
  <si>
    <t>გომბორში მცხოვრები თამარ ბუდურაშვილისთვის სახლის ასაშენებლად საჭირო სამშენებლო მასალების შესასყიდად ბ52.52212432  31.08</t>
  </si>
  <si>
    <t>საპროექტო-სახარჯთაღრიცხვო დოკუმენტაციის შედგენის მომსახურება ბ52.52211553 4.06.-2.97108</t>
  </si>
  <si>
    <t>08,09,-20.10.2021</t>
  </si>
  <si>
    <t>19/02/2021</t>
  </si>
  <si>
    <t>წერილი #: 2357-19022021-28918</t>
  </si>
  <si>
    <t>22/02/2021</t>
  </si>
  <si>
    <t>წერილი #: 2480-22022021-52061</t>
  </si>
  <si>
    <t>26/02/2021</t>
  </si>
  <si>
    <t>წერილი #: 2609-26022021-81167</t>
  </si>
  <si>
    <t>19/03/2021</t>
  </si>
  <si>
    <t>წერილი #: 3541-19032021-30632</t>
  </si>
  <si>
    <t xml:space="preserve"> 22/04/2021</t>
  </si>
  <si>
    <t>წერილი #: 5198-22042021-89358</t>
  </si>
  <si>
    <t>წერილი #: 11018-25082021-17967</t>
  </si>
  <si>
    <t>წერილი #: 7293-10062021-99039</t>
  </si>
  <si>
    <t>ა(ა)იპ - მიუსაფარი შინაური ცხოველების მართვის კახეთის სააგენტო</t>
  </si>
  <si>
    <t>2021-2022 წლებში განსახორციელებელი ინფრასტრუქტურის სამშენებლო-სარეაბილიტაციო სამუშაოებისათვის საჭირო საპროექტო-სახარჯთაღრიცხვო დოკუმენტაციის შედგენის მომსახურება</t>
  </si>
  <si>
    <t>2021-2022 წლებში განსახორციელებელი  ინფრასტრუქტურის სამშენებლო-სარეაბილიტაციო სამუშაოებისათვის საჭირო საპროექტო-სახარჯთაღრიცხვო დოკუმენტაციის შედგენის მომსახურება</t>
  </si>
  <si>
    <t>შესრულებული სამუშაოების %</t>
  </si>
  <si>
    <t xml:space="preserve"> მუნიციპალიტეტის სოფლების შიდა საუბნო გზების მოხრეშვა-მოშანდაკების მიზნით ტექნიკისა (გრეიდერი, ექსკავატორ დამტვირთველი, ავტოთვითმცლელი, გრუნტის სატკეპნი) და მათი ოპერატორების დაქირავების/ მომსახურების შესყიდვა.</t>
  </si>
  <si>
    <t xml:space="preserve"> სოფელ კაკაბეთში ე.წ. „ღვინაანთ უბნის“ მოასფალტებისა და საგარეჯოს მუნიციპალიტეტში სოფელ უდაბნოში ჩიჩხიტურის კოშკთან მისასვლელი გზის მოასფალტებისათვის საჭირო საპროექტო-სახარჯთაღრიცხვო დოკუმენტაციის შედგენის მომსახურება.</t>
  </si>
  <si>
    <t>ადგ.მნიშვ.გზების,ნაპირდ ნაგებობ,სახიდე გადასასვ. სამშ-სარეაბ  სამუშ, ასევე სტიქ.მოვლენების შედ დაზ.ინფრ აღდ საჭირო საპრ-სახარჯ დოკ შედ მომ</t>
  </si>
  <si>
    <t xml:space="preserve"> სოფელ თულარი-კაზლარის ცენტრალურ  დამაკავშირებელ გზაზე ა/საფარის მოწყობა განკ#2685, 31.12.2020</t>
  </si>
  <si>
    <t>ქალაქ საგარეჯოში მშვიდობის ქუჩის მოასფალტების სამუშაოები.განკ#2685, 31.12.2020</t>
  </si>
  <si>
    <t xml:space="preserve"> ქალაქ საგარეჯოში ბარნოვის, რობაქიძესა და 9 ძმის ქუჩების მოასფალტების სამუშაოები.განკ#2685, 31.12.2020</t>
  </si>
  <si>
    <t>ქალაქ საგარეჯოში კეცხოველის ქუჩის მოასფალტების სამუშაოები განკ#2685, 31.12.2020</t>
  </si>
  <si>
    <t>ქალაქ საგარეჯოში ფალიაშვილის ქუჩის მოასფალტების სამუშაოები განკ#2685, 31.12.2020</t>
  </si>
  <si>
    <t xml:space="preserve"> სოფელ ქვემო ყანდაურაში სასმელი წყლის ჭაბურღილის მოწყობის სამუშაოების შესყიდვა.</t>
  </si>
  <si>
    <t xml:space="preserve"> სოფელ კაკაბეთში მოსახლეობის წყალმომარაგებით უზრუნველყოფის მიზნით დამატებით მოწყობილი წყლის საქაჩი ტუმბოების სრულყოფილი ფუნქციონირებისთვის ელ.სადნის და ელ.როზეტის შესყიდვა. </t>
  </si>
  <si>
    <t>სოფელ უდაბნოში ხუთი ოჯახის კანალიზაციის ქსელის რეაბილიტაციის სამუშაოების შესყიდვა.</t>
  </si>
  <si>
    <t>სოფელ ყანდაურის და ვერხვიანის მოსახლეობისთვის სასმელი წყლის მიწოდების მომსახურების შესყიდვა</t>
  </si>
  <si>
    <t xml:space="preserve"> ს.უდაბნოში გარე განათების მოწყობის სამუშაოები</t>
  </si>
  <si>
    <t xml:space="preserve">  სოფელ  სასადილოში გარეგანათების ახალი ელ.აღრიცხვის კვანძის მოწყობის ხარჯი</t>
  </si>
  <si>
    <t xml:space="preserve"> სოფელ თოხლიაურში გარეგანათების  2 ცალი ახალი ელ. აღრიცხვის კვანძის მოწყობის ხარჯი</t>
  </si>
  <si>
    <t>სოფელ მანავში გარეგანათების  2 ცალი ახალი ელ. აღრიცხვის კვანძის მოწყობის ხარჯი</t>
  </si>
  <si>
    <t xml:space="preserve"> სოფელ ქვემო ლამბალოში გარე განათების მოწყობის სამუშაოები</t>
  </si>
  <si>
    <t xml:space="preserve"> სოფელ მანავსა და სოფელ თოხლიაურში გარე განათების მოწყობის სამუშაოების შესყიდვა.</t>
  </si>
  <si>
    <t>მუნიციპალიტეტის მასშტაბით გარე განათების მოწყობის სამუშაოები</t>
  </si>
  <si>
    <t>სოფელ მანავში არსებული მრავალბინიანი საცხოვრებელი სახლის (მესამე კორპუსის) სახურავის მოწყობის სამუშაოების შესყიდვა.</t>
  </si>
  <si>
    <t xml:space="preserve"> სოფელ დიდ ჩაილურში მცხოვრები მალასიძე დარეჯანის სტიქიით დაზიანებული საცხოვრებელი სახლის სახურავის შეკეთების სამუშაოების შესყიდვა.</t>
  </si>
  <si>
    <t>სოფელ მანავში არსებული მრავალბინიანი საცხოვრებელი სახლის (მეორე კორპუსის) სახურავის მოწყობის სამუშაოების შესყიდვა.</t>
  </si>
  <si>
    <t>სოფელ გიორგიწმინდაში მცხოვრები დიღმელაშვილი მარიამის სტიქიით დაზიანებული საცხოვრებელი სახლის სახურავის შეკეთებისა და ქალაქ საგარეჯოში მშვიდობის ქუჩა #12-ში მცხოვრები გრატიაშვილი ბეჟანის სტიქიით დაზიანებული საცხოვრებელი სახლის სახურავის შეკეთების სამუშაოების შესყიდვა.</t>
  </si>
  <si>
    <t xml:space="preserve"> სოფელ ნინოწმინდაში მცხოვრები ფეიქრიშვილი გიორგის და ლაღაძიშვილი მარიამის სტიქიის შედეგად დაზიანებული საცხოვრებელი სახლების სახურავების მოწყობის სამუშაოების შესყიდვა მთ. 11,03,2021 განN330</t>
  </si>
  <si>
    <t>სოფელ კაკაბეთში მცხოვრები ცარო აკოფიანის, ნიკოლოზ მენაბდიშვილის, ირინა გულნაზაროვას, ქ.საგარეჯოში მცხოვრები ნინო ალექსაშვილის და სოფელ ნინოწმინდაში მცხოვრები მანანა როსტომაშვილის სტიქიის შედეგად დაზიანებული საცხოვრებელი სახლების სახურავების მოწყობის სამუშაოების შესყიდვა მთ. 11,03,2021 განN330</t>
  </si>
  <si>
    <t xml:space="preserve">სოფელ პატარა ჩაილურში მცხოვრები ლამარა ჩიხლაძის და სოფელ წყაროსთავში მცხოვრები ამირან გელოვანის სტიქიის შედეგად დაზიანებული საცხოვრებელი სახლების სახურავების მოწყობის სამუშაოების შესყიდვა </t>
  </si>
  <si>
    <t xml:space="preserve"> სოფელ პატარძეულში ე.წ ,,ჩიხრაანთ" უბანში სანიაღვრე სისტემისა და ლითონის ცხაურების მოწყობის სამუშაოები.</t>
  </si>
  <si>
    <t xml:space="preserve"> სოფელ გომბორში სანიაღვრე არხისა და ლითონის ცხაურების მოწყობის სამუშაოების შესყიდვა.</t>
  </si>
  <si>
    <t xml:space="preserve"> სოფელ ხაშმში სარწყავი წყლისათვის ტუმბოს შესყიდვა.</t>
  </si>
  <si>
    <t xml:space="preserve"> სოფელ მუხროვანში სასმელი წყლის რეზერვუარის მოწყობის, ქვემო სამგორში სასმელი წყლის ავზის მოწყობის, კაკაბეთში სანიაღვრე არხის მოწყობის და გომბორში სასმელი წყლის მილის შეცვლის სამუშაოების შესყიდვა.  განკ. N168</t>
  </si>
  <si>
    <t xml:space="preserve"> სოფელ ოთარაანში სასმელი წყლის სარეაბილიტაციო სამუშაოების დასრულების და სოფელ პალდოში სარწყავი სისტემის მოწყობის სამუშაოების შესყიდვა.განკ#168.5.02.2021</t>
  </si>
  <si>
    <t xml:space="preserve"> სოფლებში (ბადიაური, ყანდაურა, დიდი ჩაილური, მანავი, უჯარმა, ვერონა, სასადილო, გორანა, ქვემო ლამბალო, კოჭბაანი, დუზაგრამა) გარე განათების მომწყობის სამუშაოების შესყიდვა.განკ#168.5.02.2021</t>
  </si>
  <si>
    <t>სოფელ იკვლივ გორანაში კობათხევზე გაბიონის მოწყობის, სოფელ ზემო ყანდაურაში და სოფელ ზემო ბურდიანში ცხაურების მოწყობის სამუშაოების შესყიდვა.</t>
  </si>
  <si>
    <t xml:space="preserve"> სოფელ შიბლიანში სანიაღვრე არხის მოწყობისა და მოხრეშვის სამუშაოების შესყიდვა.განკ#168.5.02.2021</t>
  </si>
  <si>
    <t xml:space="preserve"> სოფელ ბოტკოში სასმელი წყლის მოწყობის სამუშაოების ხარჯთაღრიცხვის შედგენის მომსახურების შესყიდვა</t>
  </si>
  <si>
    <t>სოფელ ნინოწმინდის (მონასტრის მიმდიბარე ტერიტორიაზე) ელექტროგაყვანილობის, გარე განათებისა და სკვერის შემოღობვის სამუშაოების შესყიდვა.</t>
  </si>
  <si>
    <t xml:space="preserve"> სოფელ კოჭბაანის საბავშვო ბაღის სკოლამდელი აღსაზრდელებისთვის, სამგზავრო სატრანსპორტო საშუალებების დაქირავების (მძღოლთან ერთად) მომსახურების სახელმწიფო შესყიდვა.</t>
  </si>
  <si>
    <t xml:space="preserve"> სოფელ უდაბნოში სკოლამდელი აღზრდის დაწესებულების აღდგენითი სამუშაოების შესყიდვა.</t>
  </si>
  <si>
    <t xml:space="preserve"> სოფელ ნინოწმინდაში სპორტული დარბაზის მშენებლობის სამუშაოების შესყიდვა.</t>
  </si>
  <si>
    <t xml:space="preserve"> სოფელ დიდ ჩაილურში სტადიონის მშენებლობის სამუშაოების შესყიდვა.</t>
  </si>
  <si>
    <t xml:space="preserve"> სოფელ თულარში მინი სტადონის მოწყობის სამუშაოების შესყიდვა.</t>
  </si>
  <si>
    <t xml:space="preserve"> სოფელ პატარა ჩაილურში მინი სტადონის მოწყობის სამუშაოების შესყიდვა.</t>
  </si>
  <si>
    <t>ს სოფელ დუზაგრამაში მინი სტადონის მოწყობის სამუშაოების შესყიდვა.</t>
  </si>
  <si>
    <t xml:space="preserve"> სოფელ ნინოწმინდაში მინი სტადონის მოწყობის სამუშაოების შესყიდვა.</t>
  </si>
  <si>
    <t xml:space="preserve"> სოფელ თოხლიაურში მინი სტადონის მოწყობის სამუშაოები.</t>
  </si>
  <si>
    <t xml:space="preserve"> სოფელ მზისგულში მინი სტადონის მოწყობის სამუშაოები.</t>
  </si>
  <si>
    <t>სოფელ ნინოწმინდაში არსებული სპორტდარბაზისთვის სამფაზიანი ელ.აღრიცხვის კვანძის მოწყობის ხარჯი</t>
  </si>
  <si>
    <t>სოფელ უდაბნოში არსებული სპორტდარბაზისთვის სამფაზიანი ელ.აღრიცხვის კვანძის მოწყობის ხარჯი</t>
  </si>
  <si>
    <t xml:space="preserve"> სოფელ გომბორში არსებულ სპორტდარბაზში ბ/აირის აღრიცხვის კვანძის მოწყობის ხარჯი</t>
  </si>
  <si>
    <t>სოფელ შიბლიანში მინი სტადონის მოწყობის სამუშაოები.</t>
  </si>
  <si>
    <t xml:space="preserve"> სოფელ ხაშმში მინი სტადონის მოწყობის სამუშაოები.</t>
  </si>
  <si>
    <t xml:space="preserve"> სოფელ პატარა ჩაილურში სპორტული დარბაზის რეაბილიტაციის სამუშაოების შესყიდვა.</t>
  </si>
  <si>
    <t>სოფელ ბადიაურსა და სოფელ ყანდაურაში ქუჩის ტრენაჟორების მოწყობის სამუშაოების შესყიდვა.</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</si>
</sst>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 &quot;Lari&quot;_-;\-* #,##0.00\ &quot;Lari&quot;_-;_-* &quot;-&quot;??\ &quot;Lari&quot;_-;_-@_-"/>
    <numFmt numFmtId="165" formatCode="_-* #,##0.00\ _L_a_r_i_-;\-* #,##0.00\ _L_a_r_i_-;_-* &quot;-&quot;??\ _L_a_r_i_-;_-@_-"/>
    <numFmt numFmtId="166" formatCode="0.0"/>
    <numFmt numFmtId="167" formatCode="0.00000"/>
    <numFmt numFmtId="168" formatCode="#,##0.0"/>
    <numFmt numFmtId="169" formatCode="m/d;@"/>
  </numFmts>
  <fonts count="37" x14ac:knownFonts="1">
    <font>
      <sz val="11"/>
      <color theme="1"/>
      <name val="Calibri"/>
      <family val="2"/>
      <charset val="1"/>
      <scheme val="minor"/>
    </font>
    <font>
      <sz val="11"/>
      <color indexed="8"/>
      <name val="Calibri"/>
      <family val="2"/>
    </font>
    <font>
      <sz val="8"/>
      <color indexed="8"/>
      <name val="Calibri"/>
      <family val="2"/>
    </font>
    <font>
      <sz val="9"/>
      <color indexed="8"/>
      <name val="Calibri"/>
      <family val="2"/>
    </font>
    <font>
      <sz val="10"/>
      <name val="Arial"/>
      <family val="2"/>
      <charset val="204"/>
    </font>
    <font>
      <sz val="8"/>
      <color indexed="8"/>
      <name val="Sylfaen"/>
      <family val="1"/>
      <charset val="204"/>
    </font>
    <font>
      <b/>
      <sz val="8"/>
      <color indexed="8"/>
      <name val="Sylfaen"/>
      <family val="1"/>
      <charset val="204"/>
    </font>
    <font>
      <sz val="8"/>
      <color indexed="8"/>
      <name val="LitNusx"/>
    </font>
    <font>
      <sz val="9"/>
      <color indexed="8"/>
      <name val="Sylfaen"/>
      <family val="1"/>
      <charset val="204"/>
    </font>
    <font>
      <b/>
      <sz val="9"/>
      <color indexed="8"/>
      <name val="Sylfaen"/>
      <family val="1"/>
      <charset val="204"/>
    </font>
    <font>
      <sz val="10"/>
      <name val="LitNusx"/>
    </font>
    <font>
      <sz val="9"/>
      <name val="Sylfaen"/>
      <family val="1"/>
      <charset val="204"/>
    </font>
    <font>
      <sz val="8"/>
      <name val="Sylfaen"/>
      <family val="1"/>
      <charset val="204"/>
    </font>
    <font>
      <b/>
      <sz val="8"/>
      <name val="Sylfaen"/>
      <family val="1"/>
      <charset val="204"/>
    </font>
    <font>
      <sz val="8"/>
      <color indexed="8"/>
      <name val="Calibri"/>
      <family val="2"/>
      <charset val="204"/>
    </font>
    <font>
      <sz val="7"/>
      <name val="Calibri"/>
      <family val="2"/>
    </font>
    <font>
      <sz val="10"/>
      <name val="Arial"/>
      <family val="2"/>
    </font>
    <font>
      <sz val="8"/>
      <name val="Sylfaen"/>
      <family val="1"/>
    </font>
    <font>
      <sz val="8"/>
      <color rgb="FF000000"/>
      <name val="Sylfaen"/>
      <family val="1"/>
      <charset val="204"/>
    </font>
    <font>
      <sz val="9"/>
      <color theme="1"/>
      <name val="Sylfaen"/>
      <family val="1"/>
      <charset val="204"/>
    </font>
    <font>
      <sz val="9"/>
      <color theme="1"/>
      <name val="Sylfaen"/>
      <family val="1"/>
    </font>
    <font>
      <sz val="8"/>
      <color theme="1"/>
      <name val="Sylfaen"/>
      <family val="1"/>
      <charset val="204"/>
    </font>
    <font>
      <sz val="8"/>
      <color theme="1"/>
      <name val="Sylfaen"/>
      <family val="1"/>
    </font>
    <font>
      <sz val="8"/>
      <color theme="1"/>
      <name val="Calibri"/>
      <family val="2"/>
      <scheme val="minor"/>
    </font>
    <font>
      <sz val="9"/>
      <color rgb="FF000000"/>
      <name val="Sylfaen"/>
      <family val="1"/>
      <charset val="204"/>
    </font>
    <font>
      <b/>
      <sz val="9"/>
      <color rgb="FF363636"/>
      <name val="Sylfaen"/>
      <family val="1"/>
      <charset val="204"/>
    </font>
    <font>
      <b/>
      <sz val="8"/>
      <color theme="1"/>
      <name val="Sylfaen"/>
      <family val="1"/>
      <charset val="204"/>
    </font>
    <font>
      <sz val="8"/>
      <color rgb="FF000000"/>
      <name val="Calibri"/>
      <family val="2"/>
      <charset val="204"/>
      <scheme val="minor"/>
    </font>
    <font>
      <sz val="9"/>
      <color rgb="FFFF0000"/>
      <name val="Sylfaen"/>
      <family val="1"/>
      <charset val="204"/>
    </font>
    <font>
      <b/>
      <sz val="8"/>
      <color rgb="FF000000"/>
      <name val="Sylfaen"/>
      <family val="1"/>
      <charset val="204"/>
    </font>
    <font>
      <b/>
      <sz val="8"/>
      <color rgb="FF222222"/>
      <name val="Sylfaen"/>
      <family val="1"/>
      <charset val="204"/>
    </font>
    <font>
      <sz val="8"/>
      <color rgb="FF222222"/>
      <name val="Sylfaen"/>
      <family val="1"/>
      <charset val="204"/>
    </font>
    <font>
      <sz val="9"/>
      <color rgb="FF363636"/>
      <name val="Sylfaen"/>
      <family val="1"/>
      <charset val="204"/>
    </font>
    <font>
      <sz val="8"/>
      <color rgb="FF000000"/>
      <name val="Sylfaen"/>
      <family val="1"/>
      <charset val="204"/>
    </font>
    <font>
      <sz val="8"/>
      <color theme="1"/>
      <name val="Calibri"/>
      <family val="2"/>
      <charset val="1"/>
      <scheme val="minor"/>
    </font>
    <font>
      <b/>
      <sz val="11"/>
      <color theme="1"/>
      <name val="Calibri"/>
      <family val="1"/>
      <charset val="204"/>
      <scheme val="minor"/>
    </font>
    <font>
      <b/>
      <sz val="8"/>
      <color theme="1"/>
      <name val="Calibri"/>
      <family val="2"/>
      <charset val="1"/>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9">
    <xf numFmtId="0" fontId="0" fillId="0" borderId="0"/>
    <xf numFmtId="0" fontId="1" fillId="0" borderId="0"/>
    <xf numFmtId="165" fontId="1" fillId="0" borderId="0" applyFont="0" applyFill="0" applyBorder="0" applyAlignment="0" applyProtection="0"/>
    <xf numFmtId="0" fontId="4" fillId="0" borderId="0"/>
    <xf numFmtId="0" fontId="16"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cellStyleXfs>
  <cellXfs count="179">
    <xf numFmtId="0" fontId="0" fillId="0" borderId="0" xfId="0"/>
    <xf numFmtId="0" fontId="1" fillId="0" borderId="0" xfId="1"/>
    <xf numFmtId="0" fontId="8" fillId="2" borderId="1" xfId="1" applyFont="1" applyFill="1" applyBorder="1" applyAlignment="1">
      <alignment horizontal="center" vertical="center" wrapText="1"/>
    </xf>
    <xf numFmtId="0" fontId="8" fillId="2" borderId="1" xfId="1" applyFont="1" applyFill="1" applyBorder="1"/>
    <xf numFmtId="49" fontId="6" fillId="2" borderId="1" xfId="1" applyNumberFormat="1" applyFont="1" applyFill="1" applyBorder="1" applyAlignment="1">
      <alignment horizontal="center" vertical="center" wrapText="1"/>
    </xf>
    <xf numFmtId="49" fontId="5" fillId="2" borderId="1" xfId="1" applyNumberFormat="1" applyFont="1" applyFill="1" applyBorder="1" applyAlignment="1">
      <alignment horizontal="center" vertical="center" wrapText="1"/>
    </xf>
    <xf numFmtId="0" fontId="19" fillId="2" borderId="1" xfId="1" applyFont="1" applyFill="1" applyBorder="1" applyAlignment="1">
      <alignment horizontal="center" vertical="center" wrapText="1"/>
    </xf>
    <xf numFmtId="0" fontId="9" fillId="2" borderId="1" xfId="1" applyFont="1" applyFill="1" applyBorder="1" applyAlignment="1">
      <alignment horizontal="center" vertical="center" wrapText="1"/>
    </xf>
    <xf numFmtId="49" fontId="9" fillId="2" borderId="1" xfId="1" applyNumberFormat="1" applyFont="1" applyFill="1" applyBorder="1" applyAlignment="1">
      <alignment horizontal="center" vertical="center" wrapText="1"/>
    </xf>
    <xf numFmtId="49" fontId="8" fillId="2" borderId="1" xfId="1" applyNumberFormat="1" applyFont="1" applyFill="1" applyBorder="1" applyAlignment="1">
      <alignment horizontal="center" vertical="center" wrapText="1"/>
    </xf>
    <xf numFmtId="0" fontId="19" fillId="0" borderId="1" xfId="1" applyFont="1" applyBorder="1" applyAlignment="1">
      <alignment wrapText="1"/>
    </xf>
    <xf numFmtId="0" fontId="19" fillId="0" borderId="1" xfId="1" applyFont="1" applyFill="1" applyBorder="1" applyAlignment="1">
      <alignment wrapText="1"/>
    </xf>
    <xf numFmtId="0" fontId="9" fillId="2" borderId="1" xfId="1" applyFont="1" applyFill="1" applyBorder="1" applyAlignment="1">
      <alignment wrapText="1"/>
    </xf>
    <xf numFmtId="1" fontId="8" fillId="2" borderId="1" xfId="1" applyNumberFormat="1" applyFont="1" applyFill="1" applyBorder="1" applyAlignment="1">
      <alignment horizontal="center" vertical="center" wrapText="1"/>
    </xf>
    <xf numFmtId="49" fontId="19" fillId="0" borderId="1" xfId="1" applyNumberFormat="1" applyFont="1" applyBorder="1" applyAlignment="1">
      <alignment wrapText="1"/>
    </xf>
    <xf numFmtId="14" fontId="19" fillId="2" borderId="1" xfId="1" applyNumberFormat="1" applyFont="1" applyFill="1" applyBorder="1" applyAlignment="1">
      <alignment horizontal="left" vertical="center" wrapText="1"/>
    </xf>
    <xf numFmtId="0" fontId="8" fillId="2" borderId="1" xfId="1" applyFont="1" applyFill="1" applyBorder="1" applyAlignment="1">
      <alignment wrapText="1"/>
    </xf>
    <xf numFmtId="0" fontId="8" fillId="2" borderId="1" xfId="1" applyFont="1" applyFill="1" applyBorder="1" applyAlignment="1">
      <alignment horizontal="left" vertical="center" wrapText="1"/>
    </xf>
    <xf numFmtId="0" fontId="19" fillId="2" borderId="1" xfId="1" applyFont="1" applyFill="1" applyBorder="1" applyAlignment="1">
      <alignment horizontal="center" vertical="center"/>
    </xf>
    <xf numFmtId="0" fontId="19" fillId="2" borderId="1" xfId="1" applyFont="1" applyFill="1" applyBorder="1" applyAlignment="1">
      <alignment horizontal="left" vertical="center" wrapText="1"/>
    </xf>
    <xf numFmtId="0" fontId="8" fillId="2" borderId="1" xfId="1" applyFont="1" applyFill="1" applyBorder="1" applyAlignment="1">
      <alignment horizontal="center" vertical="center"/>
    </xf>
    <xf numFmtId="0" fontId="20" fillId="0" borderId="1" xfId="1" applyFont="1" applyFill="1" applyBorder="1" applyAlignment="1">
      <alignment horizontal="center" vertical="center" wrapText="1"/>
    </xf>
    <xf numFmtId="0" fontId="9" fillId="2" borderId="1" xfId="1" applyFont="1" applyFill="1" applyBorder="1"/>
    <xf numFmtId="0" fontId="8" fillId="0" borderId="1" xfId="1" applyFont="1" applyBorder="1"/>
    <xf numFmtId="0" fontId="19" fillId="2" borderId="1" xfId="1" applyNumberFormat="1" applyFont="1" applyFill="1" applyBorder="1" applyAlignment="1">
      <alignment horizontal="center" vertical="center" wrapText="1"/>
    </xf>
    <xf numFmtId="49" fontId="20" fillId="0" borderId="1" xfId="1" applyNumberFormat="1" applyFont="1" applyFill="1" applyBorder="1" applyAlignment="1">
      <alignment horizontal="center" vertical="center" wrapText="1"/>
    </xf>
    <xf numFmtId="0" fontId="8" fillId="2" borderId="1" xfId="1" applyFont="1" applyFill="1" applyBorder="1" applyAlignment="1">
      <alignment vertical="center" wrapText="1"/>
    </xf>
    <xf numFmtId="0" fontId="19" fillId="0" borderId="1" xfId="1" applyFont="1" applyFill="1" applyBorder="1" applyAlignment="1">
      <alignment horizontal="center" vertical="center" wrapText="1"/>
    </xf>
    <xf numFmtId="0" fontId="5" fillId="2" borderId="1" xfId="1" applyFont="1" applyFill="1" applyBorder="1" applyAlignment="1">
      <alignment vertical="center" wrapText="1"/>
    </xf>
    <xf numFmtId="0" fontId="19" fillId="2" borderId="1" xfId="1" applyNumberFormat="1" applyFont="1" applyFill="1" applyBorder="1" applyAlignment="1">
      <alignment horizontal="left" vertical="center" wrapText="1"/>
    </xf>
    <xf numFmtId="0" fontId="21" fillId="2" borderId="1" xfId="1" applyFont="1" applyFill="1" applyBorder="1" applyAlignment="1">
      <alignment wrapText="1"/>
    </xf>
    <xf numFmtId="49" fontId="19" fillId="2" borderId="1" xfId="1" applyNumberFormat="1" applyFont="1" applyFill="1" applyBorder="1" applyAlignment="1">
      <alignment horizontal="left" vertical="center" wrapText="1"/>
    </xf>
    <xf numFmtId="0" fontId="22" fillId="0" borderId="1" xfId="1" applyFont="1" applyFill="1" applyBorder="1" applyAlignment="1">
      <alignment horizontal="center" vertical="center" wrapText="1"/>
    </xf>
    <xf numFmtId="49" fontId="22" fillId="0" borderId="1" xfId="1" applyNumberFormat="1" applyFont="1" applyFill="1" applyBorder="1" applyAlignment="1">
      <alignment horizontal="center" vertical="center" wrapText="1"/>
    </xf>
    <xf numFmtId="0" fontId="9" fillId="0" borderId="1" xfId="1" applyFont="1" applyBorder="1"/>
    <xf numFmtId="49" fontId="19" fillId="2" borderId="1" xfId="1" applyNumberFormat="1" applyFont="1" applyFill="1" applyBorder="1" applyAlignment="1">
      <alignment horizontal="center" vertical="center" wrapText="1"/>
    </xf>
    <xf numFmtId="0" fontId="8" fillId="0" borderId="1" xfId="1" applyFont="1" applyBorder="1" applyAlignment="1">
      <alignment wrapText="1"/>
    </xf>
    <xf numFmtId="0" fontId="24" fillId="0" borderId="1" xfId="1" applyNumberFormat="1" applyFont="1" applyFill="1" applyBorder="1" applyAlignment="1">
      <alignment vertical="top" wrapText="1" readingOrder="1"/>
    </xf>
    <xf numFmtId="14" fontId="11" fillId="2" borderId="1" xfId="7" applyNumberFormat="1" applyFont="1" applyFill="1" applyBorder="1" applyAlignment="1">
      <alignment horizontal="right" wrapText="1"/>
    </xf>
    <xf numFmtId="0" fontId="11" fillId="2" borderId="1" xfId="7" applyFont="1" applyFill="1" applyBorder="1" applyAlignment="1">
      <alignment horizontal="left" wrapText="1"/>
    </xf>
    <xf numFmtId="169" fontId="11" fillId="2" borderId="1" xfId="7" applyNumberFormat="1" applyFont="1" applyFill="1" applyBorder="1" applyAlignment="1">
      <alignment horizontal="right" wrapText="1"/>
    </xf>
    <xf numFmtId="0" fontId="25" fillId="0" borderId="1" xfId="1" applyFont="1" applyBorder="1" applyAlignment="1">
      <alignment horizontal="center" vertical="center" wrapText="1"/>
    </xf>
    <xf numFmtId="0" fontId="11" fillId="2" borderId="1" xfId="1" applyFont="1" applyFill="1" applyBorder="1" applyAlignment="1">
      <alignment horizontal="center" vertical="center" wrapText="1"/>
    </xf>
    <xf numFmtId="0" fontId="7" fillId="2" borderId="1" xfId="1" applyFont="1" applyFill="1" applyBorder="1" applyAlignment="1">
      <alignment horizontal="center" vertical="center" wrapText="1"/>
    </xf>
    <xf numFmtId="49" fontId="19" fillId="2" borderId="1" xfId="1" applyNumberFormat="1" applyFont="1" applyFill="1" applyBorder="1" applyAlignment="1">
      <alignment horizontal="center" vertical="center"/>
    </xf>
    <xf numFmtId="49" fontId="8" fillId="2" borderId="1" xfId="1" applyNumberFormat="1" applyFont="1" applyFill="1" applyBorder="1" applyAlignment="1">
      <alignment horizontal="center" vertical="center"/>
    </xf>
    <xf numFmtId="0" fontId="22" fillId="2" borderId="1" xfId="1" applyFont="1" applyFill="1" applyBorder="1" applyAlignment="1">
      <alignment horizontal="center" vertical="center" wrapText="1"/>
    </xf>
    <xf numFmtId="0" fontId="18" fillId="2" borderId="1" xfId="1" applyNumberFormat="1" applyFont="1" applyFill="1" applyBorder="1" applyAlignment="1">
      <alignment vertical="top" wrapText="1" readingOrder="1"/>
    </xf>
    <xf numFmtId="0" fontId="21" fillId="2" borderId="1" xfId="1" applyFont="1" applyFill="1" applyBorder="1" applyAlignment="1">
      <alignment horizontal="center" vertical="center" wrapText="1"/>
    </xf>
    <xf numFmtId="0" fontId="18" fillId="0" borderId="1" xfId="1" applyNumberFormat="1" applyFont="1" applyFill="1" applyBorder="1" applyAlignment="1">
      <alignment horizontal="center" vertical="center" wrapText="1" readingOrder="1"/>
    </xf>
    <xf numFmtId="0" fontId="18" fillId="0" borderId="1" xfId="1" applyNumberFormat="1" applyFont="1" applyFill="1" applyBorder="1" applyAlignment="1">
      <alignment vertical="top" wrapText="1" readingOrder="1"/>
    </xf>
    <xf numFmtId="0" fontId="5" fillId="2" borderId="1" xfId="1" applyFont="1" applyFill="1" applyBorder="1" applyAlignment="1">
      <alignment horizontal="left" vertical="center" wrapText="1"/>
    </xf>
    <xf numFmtId="0" fontId="21" fillId="2" borderId="1" xfId="1" applyFont="1" applyFill="1" applyBorder="1" applyAlignment="1">
      <alignment horizontal="left" vertical="center" wrapText="1"/>
    </xf>
    <xf numFmtId="0" fontId="5" fillId="2" borderId="1" xfId="1" applyFont="1" applyFill="1" applyBorder="1" applyAlignment="1">
      <alignment wrapText="1"/>
    </xf>
    <xf numFmtId="0" fontId="21" fillId="2" borderId="1" xfId="1" applyFont="1" applyFill="1" applyBorder="1" applyAlignment="1">
      <alignment horizontal="center" vertical="center"/>
    </xf>
    <xf numFmtId="0" fontId="5" fillId="2" borderId="1" xfId="1" applyFont="1" applyFill="1" applyBorder="1" applyAlignment="1">
      <alignment horizontal="center" vertical="center" wrapText="1"/>
    </xf>
    <xf numFmtId="0" fontId="5" fillId="2" borderId="1" xfId="1" applyFont="1" applyFill="1" applyBorder="1" applyAlignment="1">
      <alignment horizontal="center" vertical="center"/>
    </xf>
    <xf numFmtId="14" fontId="21" fillId="2" borderId="1" xfId="1" applyNumberFormat="1" applyFont="1" applyFill="1" applyBorder="1" applyAlignment="1">
      <alignment horizontal="left" vertical="center" wrapText="1"/>
    </xf>
    <xf numFmtId="49" fontId="21" fillId="2" borderId="1" xfId="1" applyNumberFormat="1" applyFont="1" applyFill="1" applyBorder="1" applyAlignment="1">
      <alignment horizontal="left" vertical="center" wrapText="1"/>
    </xf>
    <xf numFmtId="49" fontId="22" fillId="2" borderId="1" xfId="1" applyNumberFormat="1" applyFont="1" applyFill="1" applyBorder="1" applyAlignment="1">
      <alignment horizontal="left" vertical="center" wrapText="1"/>
    </xf>
    <xf numFmtId="0" fontId="21" fillId="0" borderId="1" xfId="1" applyFont="1" applyFill="1" applyBorder="1" applyAlignment="1">
      <alignment horizontal="center" vertical="center" wrapText="1"/>
    </xf>
    <xf numFmtId="0" fontId="22" fillId="0" borderId="1" xfId="1" applyFont="1" applyFill="1" applyBorder="1" applyAlignment="1">
      <alignment horizontal="left" vertical="center" wrapText="1"/>
    </xf>
    <xf numFmtId="49" fontId="11" fillId="2" borderId="1" xfId="7" applyNumberFormat="1" applyFont="1" applyFill="1" applyBorder="1" applyAlignment="1">
      <alignment horizontal="right" wrapText="1"/>
    </xf>
    <xf numFmtId="0" fontId="21" fillId="0" borderId="1" xfId="1" applyFont="1" applyFill="1" applyBorder="1" applyAlignment="1">
      <alignment horizontal="left" vertical="center" wrapText="1"/>
    </xf>
    <xf numFmtId="49" fontId="21" fillId="0" borderId="1" xfId="1" applyNumberFormat="1" applyFont="1" applyFill="1" applyBorder="1" applyAlignment="1">
      <alignment horizontal="center" vertical="center" wrapText="1"/>
    </xf>
    <xf numFmtId="49" fontId="21" fillId="0" borderId="1" xfId="1" applyNumberFormat="1" applyFont="1" applyFill="1" applyBorder="1" applyAlignment="1">
      <alignment horizontal="left" vertical="center" wrapText="1"/>
    </xf>
    <xf numFmtId="49" fontId="5" fillId="2" borderId="1" xfId="1" applyNumberFormat="1" applyFont="1" applyFill="1" applyBorder="1" applyAlignment="1">
      <alignment horizontal="center" vertical="center"/>
    </xf>
    <xf numFmtId="14" fontId="19" fillId="2" borderId="1" xfId="1" applyNumberFormat="1" applyFont="1" applyFill="1" applyBorder="1" applyAlignment="1">
      <alignment horizontal="center" vertical="center" wrapText="1"/>
    </xf>
    <xf numFmtId="49" fontId="22" fillId="2" borderId="1" xfId="1" applyNumberFormat="1" applyFont="1" applyFill="1" applyBorder="1" applyAlignment="1">
      <alignment horizontal="center" vertical="center" wrapText="1"/>
    </xf>
    <xf numFmtId="0" fontId="5" fillId="0" borderId="1" xfId="1" applyFont="1" applyBorder="1" applyAlignment="1">
      <alignment wrapText="1"/>
    </xf>
    <xf numFmtId="0" fontId="12" fillId="2" borderId="1" xfId="7" applyFont="1" applyFill="1" applyBorder="1" applyAlignment="1">
      <alignment horizontal="center" vertical="center" wrapText="1"/>
    </xf>
    <xf numFmtId="0" fontId="26" fillId="2" borderId="1" xfId="1" applyFont="1" applyFill="1" applyBorder="1" applyAlignment="1">
      <alignment horizontal="center" vertical="center" wrapText="1"/>
    </xf>
    <xf numFmtId="0" fontId="11" fillId="2" borderId="1" xfId="1" applyFont="1" applyFill="1" applyBorder="1" applyAlignment="1">
      <alignment wrapText="1"/>
    </xf>
    <xf numFmtId="168" fontId="21" fillId="2" borderId="1" xfId="1" applyNumberFormat="1" applyFont="1" applyFill="1" applyBorder="1" applyAlignment="1">
      <alignment horizontal="center" vertical="center" wrapText="1"/>
    </xf>
    <xf numFmtId="0" fontId="24" fillId="2" borderId="1" xfId="1" applyNumberFormat="1" applyFont="1" applyFill="1" applyBorder="1" applyAlignment="1">
      <alignment vertical="top" wrapText="1" readingOrder="1"/>
    </xf>
    <xf numFmtId="0" fontId="18" fillId="2" borderId="1" xfId="1" applyFont="1" applyFill="1" applyBorder="1" applyAlignment="1">
      <alignment horizontal="left" vertical="center" wrapText="1"/>
    </xf>
    <xf numFmtId="49" fontId="5" fillId="2" borderId="1" xfId="1" applyNumberFormat="1" applyFont="1" applyFill="1" applyBorder="1" applyAlignment="1">
      <alignment horizontal="left" vertical="center" wrapText="1"/>
    </xf>
    <xf numFmtId="49" fontId="20" fillId="2" borderId="1" xfId="1" applyNumberFormat="1" applyFont="1" applyFill="1" applyBorder="1" applyAlignment="1">
      <alignment horizontal="center" vertical="center" wrapText="1"/>
    </xf>
    <xf numFmtId="0" fontId="13" fillId="2" borderId="1" xfId="7" applyFont="1" applyFill="1" applyBorder="1" applyAlignment="1">
      <alignment wrapText="1"/>
    </xf>
    <xf numFmtId="49" fontId="8" fillId="2" borderId="1" xfId="1" applyNumberFormat="1" applyFont="1" applyFill="1" applyBorder="1"/>
    <xf numFmtId="0" fontId="6" fillId="0" borderId="1" xfId="1" applyFont="1" applyBorder="1"/>
    <xf numFmtId="0" fontId="6" fillId="2" borderId="1" xfId="1" applyFont="1" applyFill="1" applyBorder="1" applyAlignment="1">
      <alignment horizontal="left" vertical="center" wrapText="1"/>
    </xf>
    <xf numFmtId="0" fontId="18" fillId="2" borderId="1" xfId="1" applyFont="1" applyFill="1" applyBorder="1" applyAlignment="1">
      <alignment horizontal="center" vertical="center" wrapText="1"/>
    </xf>
    <xf numFmtId="49" fontId="21" fillId="2" borderId="1" xfId="1" applyNumberFormat="1" applyFont="1" applyFill="1" applyBorder="1" applyAlignment="1">
      <alignment horizontal="center" vertical="center"/>
    </xf>
    <xf numFmtId="0" fontId="27" fillId="0" borderId="1" xfId="1" applyFont="1" applyBorder="1" applyAlignment="1">
      <alignment wrapText="1"/>
    </xf>
    <xf numFmtId="0" fontId="15" fillId="0" borderId="1" xfId="1" applyFont="1" applyFill="1" applyBorder="1" applyAlignment="1">
      <alignment wrapText="1"/>
    </xf>
    <xf numFmtId="49" fontId="8" fillId="2" borderId="1" xfId="1" applyNumberFormat="1" applyFont="1" applyFill="1" applyBorder="1" applyAlignment="1">
      <alignment wrapText="1"/>
    </xf>
    <xf numFmtId="0" fontId="18" fillId="2" borderId="1" xfId="1" applyNumberFormat="1" applyFont="1" applyFill="1" applyBorder="1" applyAlignment="1">
      <alignment horizontal="left" vertical="top" wrapText="1" readingOrder="1"/>
    </xf>
    <xf numFmtId="0" fontId="28" fillId="2" borderId="1" xfId="1" applyFont="1" applyFill="1" applyBorder="1" applyAlignment="1">
      <alignment wrapText="1"/>
    </xf>
    <xf numFmtId="0" fontId="8" fillId="2" borderId="1" xfId="1" applyNumberFormat="1" applyFont="1" applyFill="1" applyBorder="1"/>
    <xf numFmtId="49" fontId="22" fillId="0" borderId="1" xfId="1" applyNumberFormat="1" applyFont="1" applyFill="1" applyBorder="1" applyAlignment="1">
      <alignment horizontal="left" vertical="center" wrapText="1"/>
    </xf>
    <xf numFmtId="49" fontId="21" fillId="2" borderId="1" xfId="1" applyNumberFormat="1" applyFont="1" applyFill="1" applyBorder="1" applyAlignment="1">
      <alignment horizontal="center" vertical="center" wrapText="1"/>
    </xf>
    <xf numFmtId="49" fontId="24" fillId="2" borderId="1" xfId="1" applyNumberFormat="1" applyFont="1" applyFill="1" applyBorder="1" applyAlignment="1">
      <alignment vertical="top" wrapText="1" readingOrder="1"/>
    </xf>
    <xf numFmtId="0" fontId="22" fillId="2" borderId="1" xfId="1" applyFont="1" applyFill="1" applyBorder="1" applyAlignment="1">
      <alignment horizontal="left" vertical="center" wrapText="1"/>
    </xf>
    <xf numFmtId="0" fontId="20" fillId="2" borderId="1" xfId="1" applyFont="1" applyFill="1" applyBorder="1" applyAlignment="1">
      <alignment horizontal="center" vertical="center" wrapText="1"/>
    </xf>
    <xf numFmtId="0" fontId="17" fillId="2" borderId="1" xfId="1" applyFont="1" applyFill="1" applyBorder="1" applyAlignment="1">
      <alignment horizontal="left" vertical="center" wrapText="1"/>
    </xf>
    <xf numFmtId="0" fontId="17" fillId="0" borderId="1" xfId="1" applyFont="1" applyFill="1" applyBorder="1" applyAlignment="1">
      <alignment horizontal="center" vertical="center" wrapText="1"/>
    </xf>
    <xf numFmtId="0" fontId="21" fillId="0" borderId="1" xfId="1" applyFont="1" applyFill="1" applyBorder="1" applyAlignment="1">
      <alignment horizontal="center" vertical="top" wrapText="1"/>
    </xf>
    <xf numFmtId="0" fontId="32" fillId="0" borderId="1" xfId="1" applyFont="1" applyBorder="1" applyAlignment="1">
      <alignment horizontal="center" vertical="center" wrapText="1"/>
    </xf>
    <xf numFmtId="16" fontId="19" fillId="0" borderId="1" xfId="1" applyNumberFormat="1" applyFont="1" applyBorder="1" applyAlignment="1">
      <alignment wrapText="1"/>
    </xf>
    <xf numFmtId="0" fontId="33" fillId="0" borderId="1" xfId="0" applyNumberFormat="1" applyFont="1" applyFill="1" applyBorder="1" applyAlignment="1">
      <alignment vertical="top" wrapText="1" readingOrder="1"/>
    </xf>
    <xf numFmtId="0" fontId="18" fillId="0" borderId="1" xfId="0" applyNumberFormat="1" applyFont="1" applyFill="1" applyBorder="1" applyAlignment="1">
      <alignment vertical="top" wrapText="1" readingOrder="1"/>
    </xf>
    <xf numFmtId="0" fontId="0" fillId="2" borderId="0" xfId="0" applyFill="1"/>
    <xf numFmtId="0" fontId="34" fillId="0" borderId="1" xfId="0" applyFont="1" applyBorder="1"/>
    <xf numFmtId="0" fontId="34" fillId="0" borderId="0" xfId="0" applyFont="1"/>
    <xf numFmtId="0" fontId="34" fillId="0" borderId="1" xfId="0" applyFont="1" applyBorder="1" applyAlignment="1">
      <alignment wrapText="1"/>
    </xf>
    <xf numFmtId="0" fontId="18" fillId="0" borderId="1" xfId="1" applyFont="1" applyBorder="1" applyAlignment="1">
      <alignment horizontal="center" vertical="center" wrapText="1"/>
    </xf>
    <xf numFmtId="49" fontId="9" fillId="2" borderId="1" xfId="1" applyNumberFormat="1" applyFont="1" applyFill="1" applyBorder="1"/>
    <xf numFmtId="0" fontId="35" fillId="0" borderId="0" xfId="0" applyFont="1"/>
    <xf numFmtId="167" fontId="8" fillId="2" borderId="1" xfId="1" applyNumberFormat="1" applyFont="1" applyFill="1" applyBorder="1" applyAlignment="1">
      <alignment horizontal="center" vertical="center" wrapText="1"/>
    </xf>
    <xf numFmtId="167" fontId="8" fillId="2" borderId="1" xfId="1" applyNumberFormat="1" applyFont="1" applyFill="1" applyBorder="1" applyAlignment="1">
      <alignment horizontal="center" vertical="center"/>
    </xf>
    <xf numFmtId="167" fontId="8" fillId="2" borderId="1" xfId="1" applyNumberFormat="1" applyFont="1" applyFill="1" applyBorder="1"/>
    <xf numFmtId="167" fontId="8" fillId="0" borderId="1" xfId="1" applyNumberFormat="1" applyFont="1" applyBorder="1"/>
    <xf numFmtId="167" fontId="11" fillId="2" borderId="1" xfId="7" applyNumberFormat="1" applyFont="1" applyFill="1" applyBorder="1" applyAlignment="1">
      <alignment horizontal="center" vertical="center" wrapText="1"/>
    </xf>
    <xf numFmtId="167" fontId="19" fillId="2" borderId="1" xfId="1" applyNumberFormat="1" applyFont="1" applyFill="1" applyBorder="1" applyAlignment="1">
      <alignment horizontal="center" vertical="center" wrapText="1"/>
    </xf>
    <xf numFmtId="167" fontId="8" fillId="2" borderId="1" xfId="1" applyNumberFormat="1" applyFont="1" applyFill="1" applyBorder="1" applyAlignment="1">
      <alignment horizontal="left" vertical="center" wrapText="1"/>
    </xf>
    <xf numFmtId="167" fontId="19" fillId="2" borderId="1" xfId="1" applyNumberFormat="1" applyFont="1" applyFill="1" applyBorder="1" applyAlignment="1">
      <alignment horizontal="right" wrapText="1"/>
    </xf>
    <xf numFmtId="167" fontId="11" fillId="2" borderId="1" xfId="7" applyNumberFormat="1" applyFont="1" applyFill="1" applyBorder="1" applyAlignment="1">
      <alignment horizontal="right"/>
    </xf>
    <xf numFmtId="167" fontId="19" fillId="2" borderId="1" xfId="1" applyNumberFormat="1" applyFont="1" applyFill="1" applyBorder="1" applyAlignment="1">
      <alignment horizontal="center" vertical="center"/>
    </xf>
    <xf numFmtId="167" fontId="28" fillId="2" borderId="1" xfId="1" applyNumberFormat="1" applyFont="1" applyFill="1" applyBorder="1"/>
    <xf numFmtId="167" fontId="34" fillId="0" borderId="1" xfId="0" applyNumberFormat="1" applyFont="1" applyBorder="1"/>
    <xf numFmtId="167" fontId="0" fillId="0" borderId="0" xfId="0" applyNumberFormat="1"/>
    <xf numFmtId="167" fontId="5" fillId="2" borderId="1" xfId="1" applyNumberFormat="1" applyFont="1" applyFill="1" applyBorder="1"/>
    <xf numFmtId="167" fontId="5" fillId="2" borderId="1" xfId="1" applyNumberFormat="1" applyFont="1" applyFill="1" applyBorder="1" applyAlignment="1">
      <alignment horizontal="center" vertical="center" wrapText="1"/>
    </xf>
    <xf numFmtId="167" fontId="21" fillId="2" borderId="1" xfId="1" applyNumberFormat="1" applyFont="1" applyFill="1" applyBorder="1" applyAlignment="1">
      <alignment horizontal="center" vertical="center"/>
    </xf>
    <xf numFmtId="167" fontId="8" fillId="2" borderId="1" xfId="1" applyNumberFormat="1" applyFont="1" applyFill="1" applyBorder="1" applyAlignment="1">
      <alignment vertical="center" wrapText="1"/>
    </xf>
    <xf numFmtId="167" fontId="18" fillId="2" borderId="1" xfId="1" applyNumberFormat="1" applyFont="1" applyFill="1" applyBorder="1" applyAlignment="1">
      <alignment horizontal="center" vertical="center" wrapText="1" readingOrder="1"/>
    </xf>
    <xf numFmtId="167" fontId="20" fillId="2" borderId="1" xfId="1" applyNumberFormat="1" applyFont="1" applyFill="1" applyBorder="1" applyAlignment="1">
      <alignment horizontal="center" vertical="center" wrapText="1"/>
    </xf>
    <xf numFmtId="167" fontId="8" fillId="2" borderId="1" xfId="1" applyNumberFormat="1" applyFont="1" applyFill="1" applyBorder="1" applyAlignment="1">
      <alignment wrapText="1"/>
    </xf>
    <xf numFmtId="167" fontId="11" fillId="2" borderId="1" xfId="7" applyNumberFormat="1" applyFont="1" applyFill="1" applyBorder="1"/>
    <xf numFmtId="167" fontId="32" fillId="2" borderId="1" xfId="1" applyNumberFormat="1" applyFont="1" applyFill="1" applyBorder="1" applyAlignment="1">
      <alignment horizontal="center" vertical="center"/>
    </xf>
    <xf numFmtId="167" fontId="19" fillId="2" borderId="1" xfId="1" applyNumberFormat="1" applyFont="1" applyFill="1" applyBorder="1" applyAlignment="1">
      <alignment horizontal="left" vertical="center" wrapText="1"/>
    </xf>
    <xf numFmtId="167" fontId="11" fillId="2" borderId="1" xfId="1" applyNumberFormat="1" applyFont="1" applyFill="1" applyBorder="1"/>
    <xf numFmtId="167" fontId="19" fillId="2" borderId="1" xfId="1" applyNumberFormat="1" applyFont="1" applyFill="1" applyBorder="1"/>
    <xf numFmtId="167" fontId="11" fillId="2" borderId="1" xfId="7" applyNumberFormat="1" applyFont="1" applyFill="1" applyBorder="1" applyAlignment="1">
      <alignment wrapText="1"/>
    </xf>
    <xf numFmtId="0" fontId="9" fillId="2" borderId="1" xfId="1" applyNumberFormat="1" applyFont="1" applyFill="1" applyBorder="1" applyAlignment="1">
      <alignment horizontal="center" vertical="center" wrapText="1"/>
    </xf>
    <xf numFmtId="0" fontId="18" fillId="2" borderId="1" xfId="0" applyNumberFormat="1" applyFont="1" applyFill="1" applyBorder="1" applyAlignment="1">
      <alignment vertical="top" wrapText="1" readingOrder="1"/>
    </xf>
    <xf numFmtId="167" fontId="34" fillId="2" borderId="1" xfId="0" applyNumberFormat="1" applyFont="1" applyFill="1" applyBorder="1"/>
    <xf numFmtId="167" fontId="1" fillId="0" borderId="0" xfId="1" applyNumberFormat="1" applyFont="1"/>
    <xf numFmtId="167" fontId="8" fillId="2" borderId="1" xfId="1" applyNumberFormat="1" applyFont="1" applyFill="1" applyBorder="1" applyAlignment="1"/>
    <xf numFmtId="167" fontId="0" fillId="0" borderId="0" xfId="0" applyNumberFormat="1" applyFont="1"/>
    <xf numFmtId="167" fontId="0" fillId="2" borderId="0" xfId="0" applyNumberFormat="1" applyFont="1" applyFill="1"/>
    <xf numFmtId="0" fontId="0" fillId="0" borderId="0" xfId="0" applyFont="1"/>
    <xf numFmtId="0" fontId="21"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167" fontId="10" fillId="2" borderId="0" xfId="7" applyNumberFormat="1" applyFont="1" applyFill="1" applyAlignment="1">
      <alignment horizontal="center" vertical="center" wrapText="1"/>
    </xf>
    <xf numFmtId="0" fontId="1" fillId="0" borderId="0" xfId="1" applyAlignment="1">
      <alignment wrapText="1"/>
    </xf>
    <xf numFmtId="167" fontId="28" fillId="0" borderId="1" xfId="1" applyNumberFormat="1" applyFont="1" applyBorder="1" applyAlignment="1">
      <alignment wrapText="1"/>
    </xf>
    <xf numFmtId="0" fontId="18" fillId="2" borderId="1" xfId="1" applyNumberFormat="1" applyFont="1" applyFill="1" applyBorder="1" applyAlignment="1">
      <alignment vertical="top" wrapText="1"/>
    </xf>
    <xf numFmtId="0" fontId="9" fillId="0" borderId="1" xfId="1" applyFont="1" applyBorder="1" applyAlignment="1">
      <alignment wrapText="1"/>
    </xf>
    <xf numFmtId="0" fontId="18" fillId="0" borderId="1" xfId="1" applyNumberFormat="1" applyFont="1" applyFill="1" applyBorder="1" applyAlignment="1">
      <alignment horizontal="center" vertical="center" wrapText="1"/>
    </xf>
    <xf numFmtId="0" fontId="0" fillId="0" borderId="0" xfId="0" applyAlignment="1">
      <alignment wrapText="1"/>
    </xf>
    <xf numFmtId="49" fontId="22" fillId="0" borderId="1" xfId="0" applyNumberFormat="1" applyFont="1" applyFill="1" applyBorder="1" applyAlignment="1">
      <alignment horizontal="center" vertical="center" wrapText="1"/>
    </xf>
    <xf numFmtId="0" fontId="34" fillId="0" borderId="0" xfId="0" applyFont="1" applyAlignment="1">
      <alignment wrapText="1"/>
    </xf>
    <xf numFmtId="167" fontId="34" fillId="0" borderId="0" xfId="0" applyNumberFormat="1" applyFont="1" applyAlignment="1">
      <alignment wrapText="1"/>
    </xf>
    <xf numFmtId="0" fontId="36" fillId="0" borderId="0" xfId="0" applyFont="1" applyAlignment="1">
      <alignment wrapText="1"/>
    </xf>
    <xf numFmtId="0" fontId="34" fillId="2" borderId="0" xfId="0" applyFont="1" applyFill="1" applyAlignment="1">
      <alignment wrapText="1"/>
    </xf>
    <xf numFmtId="167" fontId="3" fillId="2" borderId="1" xfId="1" applyNumberFormat="1" applyFont="1" applyFill="1" applyBorder="1"/>
    <xf numFmtId="167" fontId="34" fillId="2" borderId="0" xfId="0" applyNumberFormat="1" applyFont="1" applyFill="1" applyAlignment="1">
      <alignment wrapText="1"/>
    </xf>
    <xf numFmtId="167" fontId="0" fillId="2" borderId="0" xfId="0" applyNumberFormat="1" applyFill="1"/>
    <xf numFmtId="0" fontId="27" fillId="2" borderId="1" xfId="1" applyFont="1" applyFill="1" applyBorder="1" applyAlignment="1">
      <alignment wrapText="1"/>
    </xf>
    <xf numFmtId="0" fontId="22" fillId="2" borderId="1" xfId="0" applyFont="1" applyFill="1" applyBorder="1" applyAlignment="1">
      <alignment horizontal="center" vertical="center" wrapText="1"/>
    </xf>
    <xf numFmtId="14" fontId="8" fillId="0" borderId="1" xfId="1" applyNumberFormat="1" applyFont="1" applyBorder="1" applyAlignment="1">
      <alignment wrapText="1"/>
    </xf>
    <xf numFmtId="0" fontId="23" fillId="0" borderId="1" xfId="1" applyFont="1" applyBorder="1" applyAlignment="1">
      <alignment wrapText="1"/>
    </xf>
    <xf numFmtId="167" fontId="2" fillId="0" borderId="1" xfId="1" applyNumberFormat="1" applyFont="1" applyBorder="1" applyAlignment="1">
      <alignment wrapText="1"/>
    </xf>
    <xf numFmtId="167" fontId="1" fillId="0" borderId="1" xfId="1" applyNumberFormat="1" applyBorder="1" applyAlignment="1">
      <alignment wrapText="1"/>
    </xf>
    <xf numFmtId="0" fontId="26" fillId="0" borderId="1"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29" fillId="0" borderId="1" xfId="1" applyFont="1" applyBorder="1" applyAlignment="1">
      <alignment horizontal="center" vertical="center" wrapText="1"/>
    </xf>
    <xf numFmtId="0" fontId="6" fillId="2" borderId="1" xfId="1" applyFont="1" applyFill="1" applyBorder="1" applyAlignment="1"/>
    <xf numFmtId="0" fontId="6" fillId="2" borderId="1" xfId="1" applyFont="1" applyFill="1" applyBorder="1" applyAlignment="1">
      <alignment wrapText="1"/>
    </xf>
    <xf numFmtId="0" fontId="30" fillId="0" borderId="1" xfId="1" applyFont="1" applyBorder="1" applyAlignment="1">
      <alignment horizontal="center" vertical="center" wrapText="1"/>
    </xf>
    <xf numFmtId="0" fontId="31" fillId="0" borderId="1" xfId="1" applyFont="1" applyBorder="1" applyAlignment="1">
      <alignment horizontal="center" vertical="center" wrapText="1"/>
    </xf>
    <xf numFmtId="0" fontId="1" fillId="0" borderId="0" xfId="1" applyBorder="1"/>
    <xf numFmtId="0" fontId="2" fillId="0" borderId="0" xfId="1" applyFont="1" applyBorder="1"/>
    <xf numFmtId="0" fontId="0" fillId="0" borderId="0" xfId="0" applyBorder="1"/>
    <xf numFmtId="167" fontId="11" fillId="2" borderId="1" xfId="1" applyNumberFormat="1" applyFont="1" applyFill="1" applyBorder="1" applyAlignment="1">
      <alignment horizontal="center" vertical="center" wrapText="1"/>
    </xf>
    <xf numFmtId="167" fontId="10" fillId="2" borderId="0" xfId="7" applyNumberFormat="1" applyFont="1" applyFill="1" applyAlignment="1">
      <alignment horizontal="center" vertical="center" wrapText="1"/>
    </xf>
    <xf numFmtId="166" fontId="7" fillId="2" borderId="0" xfId="1" applyNumberFormat="1" applyFont="1" applyFill="1" applyAlignment="1">
      <alignment horizontal="center" vertical="center" wrapText="1"/>
    </xf>
  </cellXfs>
  <cellStyles count="9">
    <cellStyle name="Comma 2" xfId="2"/>
    <cellStyle name="Normal" xfId="0" builtinId="0"/>
    <cellStyle name="Normal 2" xfId="3"/>
    <cellStyle name="Normal 3" xfId="4"/>
    <cellStyle name="Normal 4" xfId="1"/>
    <cellStyle name="Percent 2" xfId="5"/>
    <cellStyle name="Денежный 2" xfId="6"/>
    <cellStyle name="Обычный 2" xfId="7"/>
    <cellStyle name="Обычный 8"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9"/>
  <sheetViews>
    <sheetView tabSelected="1" topLeftCell="A353" workbookViewId="0">
      <selection activeCell="B326" sqref="B326"/>
    </sheetView>
  </sheetViews>
  <sheetFormatPr defaultRowHeight="15" x14ac:dyDescent="0.25"/>
  <cols>
    <col min="1" max="1" width="8.140625" style="175" customWidth="1"/>
    <col min="2" max="2" width="18.85546875" style="175" customWidth="1"/>
    <col min="3" max="3" width="9.140625" style="140" customWidth="1"/>
    <col min="4" max="4" width="9.5703125" style="140" customWidth="1"/>
    <col min="5" max="5" width="9.28515625" style="140" customWidth="1"/>
    <col min="6" max="6" width="9.42578125" style="140" customWidth="1"/>
    <col min="7" max="7" width="9.28515625" style="140" customWidth="1"/>
    <col min="8" max="8" width="9" style="140" customWidth="1"/>
    <col min="9" max="9" width="9.28515625" style="141" customWidth="1"/>
    <col min="10" max="10" width="9" style="141" customWidth="1"/>
    <col min="11" max="11" width="8.85546875" style="141" customWidth="1"/>
    <col min="12" max="12" width="4.85546875" style="142" customWidth="1"/>
    <col min="13" max="13" width="5.28515625" style="142" customWidth="1"/>
    <col min="14" max="14" width="7.5703125" style="151" customWidth="1"/>
    <col min="15" max="15" width="6.5703125" customWidth="1"/>
    <col min="17" max="17" width="10.5703125" style="153" bestFit="1" customWidth="1"/>
    <col min="18" max="18" width="12.85546875" customWidth="1"/>
    <col min="19" max="19" width="10.7109375" customWidth="1"/>
  </cols>
  <sheetData>
    <row r="1" spans="1:18" ht="40.5" customHeight="1" x14ac:dyDescent="0.25">
      <c r="A1" s="173"/>
      <c r="B1" s="173"/>
      <c r="C1" s="138"/>
      <c r="D1" s="138"/>
      <c r="E1" s="138"/>
      <c r="F1" s="138"/>
      <c r="G1" s="138"/>
      <c r="H1" s="178"/>
      <c r="I1" s="178"/>
      <c r="J1" s="178"/>
      <c r="K1" s="178"/>
      <c r="L1" s="178"/>
      <c r="M1" s="178"/>
      <c r="N1" s="178"/>
      <c r="O1" s="178"/>
      <c r="P1" s="178"/>
    </row>
    <row r="2" spans="1:18" ht="39.75" customHeight="1" x14ac:dyDescent="0.25">
      <c r="A2" s="173"/>
      <c r="B2" s="174"/>
      <c r="C2" s="177" t="s">
        <v>496</v>
      </c>
      <c r="D2" s="177"/>
      <c r="E2" s="177"/>
      <c r="F2" s="177"/>
      <c r="G2" s="177"/>
      <c r="H2" s="177"/>
      <c r="I2" s="177"/>
      <c r="J2" s="177"/>
      <c r="K2" s="177"/>
      <c r="L2" s="145"/>
      <c r="M2" s="145"/>
      <c r="N2" s="146"/>
      <c r="O2" s="1"/>
      <c r="P2" s="1"/>
    </row>
    <row r="4" spans="1:18" ht="102" x14ac:dyDescent="0.25">
      <c r="A4" s="7"/>
      <c r="B4" s="70" t="s">
        <v>0</v>
      </c>
      <c r="C4" s="113" t="s">
        <v>497</v>
      </c>
      <c r="D4" s="113" t="s">
        <v>1</v>
      </c>
      <c r="E4" s="113" t="s">
        <v>2</v>
      </c>
      <c r="F4" s="109" t="s">
        <v>3</v>
      </c>
      <c r="G4" s="109" t="s">
        <v>4</v>
      </c>
      <c r="H4" s="134" t="s">
        <v>5</v>
      </c>
      <c r="I4" s="109" t="s">
        <v>6</v>
      </c>
      <c r="J4" s="109" t="s">
        <v>7</v>
      </c>
      <c r="K4" s="109" t="s">
        <v>8</v>
      </c>
      <c r="L4" s="10" t="s">
        <v>498</v>
      </c>
      <c r="M4" s="10" t="s">
        <v>776</v>
      </c>
      <c r="N4" s="10" t="s">
        <v>9</v>
      </c>
      <c r="O4" s="10" t="s">
        <v>10</v>
      </c>
      <c r="P4" s="11" t="s">
        <v>11</v>
      </c>
    </row>
    <row r="5" spans="1:18" x14ac:dyDescent="0.25">
      <c r="A5" s="86" t="s">
        <v>12</v>
      </c>
      <c r="B5" s="81" t="s">
        <v>13</v>
      </c>
      <c r="C5" s="109"/>
      <c r="D5" s="109"/>
      <c r="E5" s="109"/>
      <c r="F5" s="109"/>
      <c r="G5" s="109"/>
      <c r="H5" s="109"/>
      <c r="I5" s="109"/>
      <c r="J5" s="109"/>
      <c r="K5" s="109"/>
      <c r="L5" s="13"/>
      <c r="M5" s="13"/>
      <c r="N5" s="16"/>
      <c r="O5" s="3"/>
      <c r="P5" s="3"/>
    </row>
    <row r="6" spans="1:18" ht="43.5" customHeight="1" x14ac:dyDescent="0.25">
      <c r="A6" s="16" t="s">
        <v>14</v>
      </c>
      <c r="B6" s="52" t="s">
        <v>15</v>
      </c>
      <c r="C6" s="109">
        <f>D6+E6</f>
        <v>0.3</v>
      </c>
      <c r="D6" s="109">
        <v>0.3</v>
      </c>
      <c r="E6" s="109"/>
      <c r="F6" s="109">
        <f>G6+H6</f>
        <v>0.3</v>
      </c>
      <c r="G6" s="109">
        <v>0.3</v>
      </c>
      <c r="H6" s="109"/>
      <c r="I6" s="109">
        <f>J6+K6</f>
        <v>0.3</v>
      </c>
      <c r="J6" s="109">
        <v>0.3</v>
      </c>
      <c r="K6" s="109"/>
      <c r="L6" s="13">
        <f>I6/C6*100</f>
        <v>100</v>
      </c>
      <c r="M6" s="13"/>
      <c r="N6" s="16" t="s">
        <v>16</v>
      </c>
      <c r="O6" s="3" t="s">
        <v>17</v>
      </c>
      <c r="P6" s="48" t="s">
        <v>18</v>
      </c>
    </row>
    <row r="7" spans="1:18" ht="67.5" x14ac:dyDescent="0.25">
      <c r="A7" s="16"/>
      <c r="B7" s="52" t="s">
        <v>19</v>
      </c>
      <c r="C7" s="109">
        <f t="shared" ref="C7:C81" si="0">D7+E7</f>
        <v>1.6</v>
      </c>
      <c r="D7" s="109">
        <v>1.6</v>
      </c>
      <c r="E7" s="109"/>
      <c r="F7" s="109">
        <f t="shared" ref="F7:F81" si="1">G7+H7</f>
        <v>1.6</v>
      </c>
      <c r="G7" s="109">
        <v>1.6</v>
      </c>
      <c r="H7" s="109"/>
      <c r="I7" s="109">
        <f t="shared" ref="I7:I81" si="2">J7+K7</f>
        <v>0.64</v>
      </c>
      <c r="J7" s="109">
        <v>0.64</v>
      </c>
      <c r="K7" s="109"/>
      <c r="L7" s="13">
        <f t="shared" ref="L7:L70" si="3">I7/C7*100</f>
        <v>40</v>
      </c>
      <c r="M7" s="13"/>
      <c r="N7" s="16" t="s">
        <v>20</v>
      </c>
      <c r="O7" s="3" t="s">
        <v>21</v>
      </c>
      <c r="P7" s="48" t="s">
        <v>22</v>
      </c>
    </row>
    <row r="8" spans="1:18" ht="59.25" customHeight="1" x14ac:dyDescent="0.25">
      <c r="A8" s="16"/>
      <c r="B8" s="32" t="s">
        <v>23</v>
      </c>
      <c r="C8" s="109">
        <f t="shared" si="0"/>
        <v>277.83668</v>
      </c>
      <c r="D8" s="109">
        <v>277.83668</v>
      </c>
      <c r="E8" s="109"/>
      <c r="F8" s="109">
        <f t="shared" si="1"/>
        <v>277.83668</v>
      </c>
      <c r="G8" s="109">
        <v>277.83668</v>
      </c>
      <c r="H8" s="109"/>
      <c r="I8" s="109">
        <f t="shared" si="2"/>
        <v>0</v>
      </c>
      <c r="J8" s="109"/>
      <c r="K8" s="109"/>
      <c r="L8" s="13">
        <f t="shared" si="3"/>
        <v>0</v>
      </c>
      <c r="M8" s="13">
        <v>0.3</v>
      </c>
      <c r="N8" s="16" t="s">
        <v>24</v>
      </c>
      <c r="O8" s="3" t="s">
        <v>25</v>
      </c>
      <c r="P8" s="32" t="s">
        <v>26</v>
      </c>
    </row>
    <row r="9" spans="1:18" ht="45" x14ac:dyDescent="0.25">
      <c r="A9" s="16"/>
      <c r="B9" s="32" t="s">
        <v>499</v>
      </c>
      <c r="C9" s="109">
        <f t="shared" si="0"/>
        <v>4.7577600000000002</v>
      </c>
      <c r="D9" s="109">
        <v>4.7577600000000002</v>
      </c>
      <c r="E9" s="109"/>
      <c r="F9" s="109">
        <f t="shared" si="1"/>
        <v>4.7577499999999997</v>
      </c>
      <c r="G9" s="109">
        <v>4.7577499999999997</v>
      </c>
      <c r="H9" s="109"/>
      <c r="I9" s="109">
        <f t="shared" si="2"/>
        <v>4.7577600000000002</v>
      </c>
      <c r="J9" s="109">
        <v>4.7577600000000002</v>
      </c>
      <c r="K9" s="109"/>
      <c r="L9" s="13">
        <f t="shared" si="3"/>
        <v>100</v>
      </c>
      <c r="M9" s="13">
        <v>100</v>
      </c>
      <c r="N9" s="16" t="s">
        <v>608</v>
      </c>
      <c r="O9" s="3">
        <v>77</v>
      </c>
      <c r="P9" s="100" t="s">
        <v>500</v>
      </c>
    </row>
    <row r="10" spans="1:18" ht="78.75" x14ac:dyDescent="0.25">
      <c r="A10" s="16"/>
      <c r="B10" s="100" t="s">
        <v>545</v>
      </c>
      <c r="C10" s="109">
        <f t="shared" si="0"/>
        <v>8.9640000000000004</v>
      </c>
      <c r="D10" s="109">
        <v>8.9640000000000004</v>
      </c>
      <c r="E10" s="109"/>
      <c r="F10" s="109">
        <f t="shared" si="1"/>
        <v>8.9640000000000004</v>
      </c>
      <c r="G10" s="109">
        <v>8.9640000000000004</v>
      </c>
      <c r="H10" s="109"/>
      <c r="I10" s="109">
        <f t="shared" si="2"/>
        <v>8.9640000000000004</v>
      </c>
      <c r="J10" s="109">
        <v>8.9640000000000004</v>
      </c>
      <c r="K10" s="109"/>
      <c r="L10" s="13">
        <f t="shared" si="3"/>
        <v>100</v>
      </c>
      <c r="M10" s="13"/>
      <c r="N10" s="16" t="s">
        <v>703</v>
      </c>
      <c r="O10" s="101" t="s">
        <v>704</v>
      </c>
      <c r="P10" s="101" t="s">
        <v>546</v>
      </c>
    </row>
    <row r="11" spans="1:18" ht="101.25" x14ac:dyDescent="0.25">
      <c r="A11" s="16"/>
      <c r="B11" s="144" t="s">
        <v>777</v>
      </c>
      <c r="C11" s="109">
        <f t="shared" si="0"/>
        <v>227.90431000000001</v>
      </c>
      <c r="D11" s="109">
        <f>234.03424-6.12993</f>
        <v>227.90431000000001</v>
      </c>
      <c r="E11" s="109"/>
      <c r="F11" s="109">
        <f t="shared" si="1"/>
        <v>234.03424000000001</v>
      </c>
      <c r="G11" s="109">
        <v>234.03424000000001</v>
      </c>
      <c r="H11" s="109"/>
      <c r="I11" s="109">
        <f t="shared" si="2"/>
        <v>221.8416</v>
      </c>
      <c r="J11" s="109">
        <f>117.89088+103.95072</f>
        <v>221.8416</v>
      </c>
      <c r="K11" s="109"/>
      <c r="L11" s="13">
        <f t="shared" si="3"/>
        <v>97.339800199478461</v>
      </c>
      <c r="M11" s="13">
        <v>100</v>
      </c>
      <c r="N11" s="16" t="s">
        <v>607</v>
      </c>
      <c r="O11" s="101" t="s">
        <v>547</v>
      </c>
      <c r="P11" s="101" t="s">
        <v>548</v>
      </c>
    </row>
    <row r="12" spans="1:18" x14ac:dyDescent="0.25">
      <c r="A12" s="16"/>
      <c r="B12" s="51" t="s">
        <v>27</v>
      </c>
      <c r="C12" s="109">
        <f t="shared" si="0"/>
        <v>521.36275000000001</v>
      </c>
      <c r="D12" s="109">
        <f>SUM(D6:D11)</f>
        <v>521.36275000000001</v>
      </c>
      <c r="E12" s="109"/>
      <c r="F12" s="109">
        <f t="shared" si="1"/>
        <v>527.49266999999998</v>
      </c>
      <c r="G12" s="109">
        <f>SUM(G6:G11)</f>
        <v>527.49266999999998</v>
      </c>
      <c r="H12" s="109"/>
      <c r="I12" s="109">
        <f t="shared" si="2"/>
        <v>236.50335999999999</v>
      </c>
      <c r="J12" s="109">
        <f>SUM(J6:J11)</f>
        <v>236.50335999999999</v>
      </c>
      <c r="K12" s="109"/>
      <c r="L12" s="13">
        <f t="shared" si="3"/>
        <v>45.362535010412614</v>
      </c>
      <c r="M12" s="13"/>
      <c r="N12" s="16"/>
      <c r="O12" s="3"/>
      <c r="P12" s="3"/>
    </row>
    <row r="13" spans="1:18" x14ac:dyDescent="0.25">
      <c r="A13" s="16"/>
      <c r="B13" s="51"/>
      <c r="C13" s="109"/>
      <c r="D13" s="109"/>
      <c r="E13" s="109"/>
      <c r="F13" s="109"/>
      <c r="G13" s="109"/>
      <c r="H13" s="109"/>
      <c r="I13" s="109"/>
      <c r="J13" s="109"/>
      <c r="K13" s="109"/>
      <c r="L13" s="13"/>
      <c r="M13" s="13"/>
      <c r="N13" s="16"/>
      <c r="O13" s="3"/>
      <c r="P13" s="3"/>
      <c r="Q13" s="154"/>
    </row>
    <row r="14" spans="1:18" x14ac:dyDescent="0.25">
      <c r="A14" s="12" t="s">
        <v>28</v>
      </c>
      <c r="B14" s="71" t="s">
        <v>29</v>
      </c>
      <c r="C14" s="109"/>
      <c r="D14" s="113"/>
      <c r="E14" s="113"/>
      <c r="F14" s="109"/>
      <c r="G14" s="109"/>
      <c r="H14" s="134"/>
      <c r="I14" s="109"/>
      <c r="J14" s="109"/>
      <c r="K14" s="109"/>
      <c r="L14" s="13"/>
      <c r="M14" s="13"/>
      <c r="N14" s="10"/>
      <c r="O14" s="10"/>
      <c r="P14" s="11"/>
    </row>
    <row r="15" spans="1:18" ht="56.25" x14ac:dyDescent="0.25">
      <c r="A15" s="16"/>
      <c r="B15" s="50" t="s">
        <v>30</v>
      </c>
      <c r="C15" s="109">
        <f t="shared" si="0"/>
        <v>214.41007999999999</v>
      </c>
      <c r="D15" s="118">
        <v>214.41007999999999</v>
      </c>
      <c r="E15" s="118"/>
      <c r="F15" s="109">
        <f t="shared" si="1"/>
        <v>214.41007999999999</v>
      </c>
      <c r="G15" s="118">
        <v>214.41007999999999</v>
      </c>
      <c r="H15" s="118"/>
      <c r="I15" s="109">
        <f t="shared" si="2"/>
        <v>214.41008000000002</v>
      </c>
      <c r="J15" s="109">
        <v>214.41008000000002</v>
      </c>
      <c r="K15" s="109"/>
      <c r="L15" s="13">
        <f t="shared" si="3"/>
        <v>100.00000000000003</v>
      </c>
      <c r="M15" s="13">
        <v>100</v>
      </c>
      <c r="N15" s="16" t="s">
        <v>31</v>
      </c>
      <c r="O15" s="18">
        <v>144</v>
      </c>
      <c r="P15" s="19" t="s">
        <v>32</v>
      </c>
    </row>
    <row r="16" spans="1:18" ht="45" x14ac:dyDescent="0.25">
      <c r="A16" s="16"/>
      <c r="B16" s="47" t="s">
        <v>33</v>
      </c>
      <c r="C16" s="109">
        <f t="shared" si="0"/>
        <v>734.25402000000008</v>
      </c>
      <c r="D16" s="118">
        <v>219.99700999999999</v>
      </c>
      <c r="E16" s="118">
        <v>514.25701000000004</v>
      </c>
      <c r="F16" s="109">
        <f t="shared" si="1"/>
        <v>1260.0085999999999</v>
      </c>
      <c r="G16" s="122">
        <v>453.60359999999997</v>
      </c>
      <c r="H16" s="122">
        <v>806.40499999999997</v>
      </c>
      <c r="I16" s="109">
        <f t="shared" si="2"/>
        <v>803.52656999999999</v>
      </c>
      <c r="J16" s="109">
        <f>151.77577+137.49379</f>
        <v>289.26955999999996</v>
      </c>
      <c r="K16" s="109">
        <f>269.8236+244.43341</f>
        <v>514.25701000000004</v>
      </c>
      <c r="L16" s="13">
        <f t="shared" si="3"/>
        <v>109.43441208534341</v>
      </c>
      <c r="M16" s="13">
        <v>100</v>
      </c>
      <c r="N16" s="16" t="s">
        <v>34</v>
      </c>
      <c r="O16" s="18">
        <v>121</v>
      </c>
      <c r="P16" s="19" t="s">
        <v>35</v>
      </c>
      <c r="Q16" s="156"/>
      <c r="R16" s="121"/>
    </row>
    <row r="17" spans="1:19" ht="33.75" x14ac:dyDescent="0.25">
      <c r="A17" s="16"/>
      <c r="B17" s="50" t="s">
        <v>36</v>
      </c>
      <c r="C17" s="109">
        <f t="shared" si="0"/>
        <v>11.85</v>
      </c>
      <c r="D17" s="118">
        <v>11.85</v>
      </c>
      <c r="E17" s="118"/>
      <c r="F17" s="109">
        <f t="shared" si="1"/>
        <v>11.85</v>
      </c>
      <c r="G17" s="118">
        <v>11.85</v>
      </c>
      <c r="H17" s="118"/>
      <c r="I17" s="109">
        <f t="shared" si="2"/>
        <v>11.85</v>
      </c>
      <c r="J17" s="109">
        <v>11.85</v>
      </c>
      <c r="K17" s="109"/>
      <c r="L17" s="13">
        <f t="shared" si="3"/>
        <v>100</v>
      </c>
      <c r="M17" s="13"/>
      <c r="N17" s="16" t="s">
        <v>37</v>
      </c>
      <c r="O17" s="18">
        <v>110</v>
      </c>
      <c r="P17" s="19" t="s">
        <v>38</v>
      </c>
      <c r="Q17" s="156"/>
    </row>
    <row r="18" spans="1:19" ht="38.25" x14ac:dyDescent="0.25">
      <c r="A18" s="16"/>
      <c r="B18" s="47" t="s">
        <v>39</v>
      </c>
      <c r="C18" s="109">
        <f t="shared" si="0"/>
        <v>1264.9569999999999</v>
      </c>
      <c r="D18" s="109">
        <v>63.249999999999993</v>
      </c>
      <c r="E18" s="109">
        <v>1201.7069999999999</v>
      </c>
      <c r="F18" s="109">
        <f t="shared" si="1"/>
        <v>1264.9569999999999</v>
      </c>
      <c r="G18" s="109">
        <v>63.249999999999993</v>
      </c>
      <c r="H18" s="109">
        <v>1201.7069999999999</v>
      </c>
      <c r="I18" s="109">
        <f t="shared" si="2"/>
        <v>1264.9569999999999</v>
      </c>
      <c r="J18" s="109">
        <v>63.249999999999993</v>
      </c>
      <c r="K18" s="109">
        <v>1201.7069999999999</v>
      </c>
      <c r="L18" s="13">
        <f t="shared" si="3"/>
        <v>100</v>
      </c>
      <c r="M18" s="13">
        <v>100</v>
      </c>
      <c r="N18" s="16" t="s">
        <v>40</v>
      </c>
      <c r="O18" s="18">
        <v>147</v>
      </c>
      <c r="P18" s="19" t="s">
        <v>41</v>
      </c>
      <c r="Q18" s="158"/>
    </row>
    <row r="19" spans="1:19" ht="33.75" x14ac:dyDescent="0.25">
      <c r="A19" s="164"/>
      <c r="B19" s="87" t="s">
        <v>42</v>
      </c>
      <c r="C19" s="109">
        <f t="shared" si="0"/>
        <v>246.31476000000001</v>
      </c>
      <c r="D19" s="118">
        <v>12.23014</v>
      </c>
      <c r="E19" s="118">
        <v>234.08462</v>
      </c>
      <c r="F19" s="109">
        <f t="shared" si="1"/>
        <v>249.01199</v>
      </c>
      <c r="G19" s="118">
        <v>12.450599500000001</v>
      </c>
      <c r="H19" s="118">
        <v>236.56139049999999</v>
      </c>
      <c r="I19" s="109">
        <f t="shared" si="2"/>
        <v>246.31475999999998</v>
      </c>
      <c r="J19" s="109">
        <f>9.83014+2.4</f>
        <v>12.23014</v>
      </c>
      <c r="K19" s="109">
        <f>186.77262+47.312</f>
        <v>234.08461999999997</v>
      </c>
      <c r="L19" s="13">
        <f t="shared" si="3"/>
        <v>99.999999999999986</v>
      </c>
      <c r="M19" s="13">
        <v>100</v>
      </c>
      <c r="N19" s="16" t="s">
        <v>705</v>
      </c>
      <c r="O19" s="18">
        <v>22</v>
      </c>
      <c r="P19" s="19" t="s">
        <v>35</v>
      </c>
      <c r="R19" s="121"/>
    </row>
    <row r="20" spans="1:19" ht="89.25" x14ac:dyDescent="0.25">
      <c r="A20" s="16"/>
      <c r="B20" s="46" t="s">
        <v>43</v>
      </c>
      <c r="C20" s="109">
        <f t="shared" si="0"/>
        <v>416.28317000000004</v>
      </c>
      <c r="D20" s="110">
        <f>3.02881+14.24974+2.625+0.91061</f>
        <v>20.814159999999998</v>
      </c>
      <c r="E20" s="109">
        <f>57.54752+270.75187+49.89201+17.27761</f>
        <v>395.46901000000003</v>
      </c>
      <c r="F20" s="109">
        <f t="shared" si="1"/>
        <v>416.28317000000004</v>
      </c>
      <c r="G20" s="110">
        <f>3.02881+14.24974+2.625+0.91061</f>
        <v>20.814159999999998</v>
      </c>
      <c r="H20" s="109">
        <f>57.54752+270.75187+49.89201+17.27761</f>
        <v>395.46901000000003</v>
      </c>
      <c r="I20" s="109">
        <f t="shared" si="2"/>
        <v>416.28317000000004</v>
      </c>
      <c r="J20" s="110">
        <f>3.02881+14.24974+2.625+0.91061</f>
        <v>20.814159999999998</v>
      </c>
      <c r="K20" s="109">
        <f>57.54752+270.75187+49.89201+17.27761</f>
        <v>395.46901000000003</v>
      </c>
      <c r="L20" s="13">
        <f t="shared" si="3"/>
        <v>100</v>
      </c>
      <c r="M20" s="13">
        <v>100</v>
      </c>
      <c r="N20" s="72" t="s">
        <v>44</v>
      </c>
      <c r="O20" s="18">
        <v>14</v>
      </c>
      <c r="P20" s="19" t="s">
        <v>32</v>
      </c>
      <c r="Q20" s="154">
        <f>Q16+Q18+Q24+Q42</f>
        <v>0</v>
      </c>
      <c r="R20" s="121"/>
      <c r="S20" s="121"/>
    </row>
    <row r="21" spans="1:19" ht="89.25" x14ac:dyDescent="0.25">
      <c r="A21" s="16"/>
      <c r="B21" s="46" t="s">
        <v>45</v>
      </c>
      <c r="C21" s="109">
        <f t="shared" si="0"/>
        <v>150.75784000000002</v>
      </c>
      <c r="D21" s="110">
        <f>3.88795+3.6509</f>
        <v>7.5388500000000001</v>
      </c>
      <c r="E21" s="109">
        <f>73.85182+69.36717</f>
        <v>143.21899000000002</v>
      </c>
      <c r="F21" s="109">
        <f t="shared" si="1"/>
        <v>150.75784000000002</v>
      </c>
      <c r="G21" s="110">
        <f>3.88795+3.6509</f>
        <v>7.5388500000000001</v>
      </c>
      <c r="H21" s="109">
        <f>73.85182+69.36717</f>
        <v>143.21899000000002</v>
      </c>
      <c r="I21" s="109">
        <f t="shared" si="2"/>
        <v>150.75784000000002</v>
      </c>
      <c r="J21" s="110">
        <f>3.88795+3.6509</f>
        <v>7.5388500000000001</v>
      </c>
      <c r="K21" s="109">
        <f>73.85182+69.36717</f>
        <v>143.21899000000002</v>
      </c>
      <c r="L21" s="13">
        <f t="shared" si="3"/>
        <v>100</v>
      </c>
      <c r="M21" s="13">
        <v>100</v>
      </c>
      <c r="N21" s="72" t="s">
        <v>44</v>
      </c>
      <c r="O21" s="18">
        <v>14</v>
      </c>
      <c r="P21" s="19" t="s">
        <v>32</v>
      </c>
    </row>
    <row r="22" spans="1:19" ht="63.75" x14ac:dyDescent="0.25">
      <c r="A22" s="16"/>
      <c r="B22" s="46" t="s">
        <v>46</v>
      </c>
      <c r="C22" s="109">
        <f t="shared" si="0"/>
        <v>286.24828000000002</v>
      </c>
      <c r="D22" s="111">
        <f>11.28293+3.03035</f>
        <v>14.313280000000001</v>
      </c>
      <c r="E22" s="111">
        <f>214.35825+57.57675</f>
        <v>271.935</v>
      </c>
      <c r="F22" s="109">
        <f t="shared" si="1"/>
        <v>296.24900000000002</v>
      </c>
      <c r="G22" s="109">
        <v>14.81245</v>
      </c>
      <c r="H22" s="109">
        <v>281.43655000000001</v>
      </c>
      <c r="I22" s="109">
        <f t="shared" si="2"/>
        <v>286.24828000000002</v>
      </c>
      <c r="J22" s="111">
        <f>11.28293+3.03035</f>
        <v>14.313280000000001</v>
      </c>
      <c r="K22" s="111">
        <f>214.35825+57.57675</f>
        <v>271.935</v>
      </c>
      <c r="L22" s="13">
        <f t="shared" si="3"/>
        <v>100</v>
      </c>
      <c r="M22" s="13">
        <v>100</v>
      </c>
      <c r="N22" s="2" t="s">
        <v>706</v>
      </c>
      <c r="O22" s="20">
        <v>16</v>
      </c>
      <c r="P22" s="21" t="s">
        <v>47</v>
      </c>
    </row>
    <row r="23" spans="1:19" ht="90" x14ac:dyDescent="0.25">
      <c r="A23" s="16"/>
      <c r="B23" s="46" t="s">
        <v>48</v>
      </c>
      <c r="C23" s="109">
        <f t="shared" si="0"/>
        <v>454.19302999999996</v>
      </c>
      <c r="D23" s="109">
        <v>22.70966</v>
      </c>
      <c r="E23" s="109">
        <v>431.48336999999998</v>
      </c>
      <c r="F23" s="109">
        <f t="shared" si="1"/>
        <v>597.5</v>
      </c>
      <c r="G23" s="109">
        <v>29.875</v>
      </c>
      <c r="H23" s="109">
        <v>567.625</v>
      </c>
      <c r="I23" s="109">
        <f t="shared" si="2"/>
        <v>120.45176000000001</v>
      </c>
      <c r="J23" s="111">
        <v>6.0225799999999996</v>
      </c>
      <c r="K23" s="111">
        <v>114.42918</v>
      </c>
      <c r="L23" s="13">
        <f t="shared" si="3"/>
        <v>26.519949018152044</v>
      </c>
      <c r="M23" s="13">
        <v>70</v>
      </c>
      <c r="N23" s="2" t="s">
        <v>707</v>
      </c>
      <c r="O23" s="20" t="s">
        <v>49</v>
      </c>
      <c r="P23" s="19" t="s">
        <v>41</v>
      </c>
    </row>
    <row r="24" spans="1:19" ht="89.25" x14ac:dyDescent="0.25">
      <c r="A24" s="165"/>
      <c r="B24" s="68" t="s">
        <v>50</v>
      </c>
      <c r="C24" s="109">
        <f t="shared" si="0"/>
        <v>549.93082000000004</v>
      </c>
      <c r="D24" s="109">
        <v>27.46482</v>
      </c>
      <c r="E24" s="109">
        <v>522.46600000000001</v>
      </c>
      <c r="F24" s="109">
        <f t="shared" si="1"/>
        <v>350</v>
      </c>
      <c r="G24" s="109">
        <v>17.5</v>
      </c>
      <c r="H24" s="109">
        <v>332.5</v>
      </c>
      <c r="I24" s="109">
        <f t="shared" si="2"/>
        <v>350.24060999999995</v>
      </c>
      <c r="J24" s="111">
        <f>6.406+11.10603</f>
        <v>17.512029999999999</v>
      </c>
      <c r="K24" s="111">
        <f>121.714+211.01458</f>
        <v>332.72857999999997</v>
      </c>
      <c r="L24" s="13">
        <f t="shared" si="3"/>
        <v>63.688121716837017</v>
      </c>
      <c r="M24" s="13">
        <v>100</v>
      </c>
      <c r="N24" s="2" t="s">
        <v>51</v>
      </c>
      <c r="O24" s="20">
        <v>17</v>
      </c>
      <c r="P24" s="19" t="s">
        <v>41</v>
      </c>
      <c r="Q24" s="156"/>
      <c r="R24" s="102"/>
    </row>
    <row r="25" spans="1:19" ht="45" x14ac:dyDescent="0.25">
      <c r="A25" s="16"/>
      <c r="B25" s="51" t="s">
        <v>52</v>
      </c>
      <c r="C25" s="109">
        <f t="shared" si="0"/>
        <v>20.357810000000001</v>
      </c>
      <c r="D25" s="118">
        <v>1.0186999999999999</v>
      </c>
      <c r="E25" s="109">
        <v>19.339110000000002</v>
      </c>
      <c r="F25" s="109">
        <f t="shared" si="1"/>
        <v>215.70085</v>
      </c>
      <c r="G25" s="123">
        <v>10.78504</v>
      </c>
      <c r="H25" s="123">
        <v>204.91580999999999</v>
      </c>
      <c r="I25" s="109">
        <f t="shared" si="2"/>
        <v>0</v>
      </c>
      <c r="J25" s="111"/>
      <c r="K25" s="110"/>
      <c r="L25" s="13">
        <f t="shared" si="3"/>
        <v>0</v>
      </c>
      <c r="M25" s="13">
        <v>100</v>
      </c>
      <c r="N25" s="16" t="s">
        <v>53</v>
      </c>
      <c r="O25" s="18" t="s">
        <v>54</v>
      </c>
      <c r="P25" s="52" t="s">
        <v>55</v>
      </c>
      <c r="Q25" s="158"/>
      <c r="R25" s="159"/>
      <c r="S25" s="121"/>
    </row>
    <row r="26" spans="1:19" ht="45" x14ac:dyDescent="0.25">
      <c r="A26" s="16"/>
      <c r="B26" s="51" t="s">
        <v>56</v>
      </c>
      <c r="C26" s="109">
        <f t="shared" si="0"/>
        <v>15.08487</v>
      </c>
      <c r="D26" s="118">
        <v>0.75502999999999998</v>
      </c>
      <c r="E26" s="109">
        <v>14.329840000000001</v>
      </c>
      <c r="F26" s="109">
        <f t="shared" si="1"/>
        <v>182.99414999999999</v>
      </c>
      <c r="G26" s="123">
        <v>9.1497100000000007</v>
      </c>
      <c r="H26" s="123">
        <v>173.84443999999999</v>
      </c>
      <c r="I26" s="109">
        <f t="shared" si="2"/>
        <v>0</v>
      </c>
      <c r="J26" s="111"/>
      <c r="K26" s="110"/>
      <c r="L26" s="13">
        <f t="shared" si="3"/>
        <v>0</v>
      </c>
      <c r="M26" s="13">
        <v>100</v>
      </c>
      <c r="N26" s="16" t="s">
        <v>53</v>
      </c>
      <c r="O26" s="18" t="s">
        <v>54</v>
      </c>
      <c r="P26" s="52" t="s">
        <v>55</v>
      </c>
    </row>
    <row r="27" spans="1:19" ht="45" x14ac:dyDescent="0.25">
      <c r="A27" s="16"/>
      <c r="B27" s="51" t="s">
        <v>57</v>
      </c>
      <c r="C27" s="109">
        <f t="shared" si="0"/>
        <v>65.444310000000002</v>
      </c>
      <c r="D27" s="118">
        <v>3.2721900000000002</v>
      </c>
      <c r="E27" s="109">
        <v>62.17212</v>
      </c>
      <c r="F27" s="109">
        <f t="shared" si="1"/>
        <v>229.99703</v>
      </c>
      <c r="G27" s="123">
        <v>11.49985</v>
      </c>
      <c r="H27" s="123">
        <v>218.49717999999999</v>
      </c>
      <c r="I27" s="109">
        <f t="shared" si="2"/>
        <v>0</v>
      </c>
      <c r="J27" s="111"/>
      <c r="K27" s="110"/>
      <c r="L27" s="13">
        <f t="shared" si="3"/>
        <v>0</v>
      </c>
      <c r="M27" s="13">
        <v>100</v>
      </c>
      <c r="N27" s="16" t="s">
        <v>53</v>
      </c>
      <c r="O27" s="18" t="s">
        <v>54</v>
      </c>
      <c r="P27" s="52" t="s">
        <v>55</v>
      </c>
    </row>
    <row r="28" spans="1:19" ht="45" x14ac:dyDescent="0.25">
      <c r="A28" s="16"/>
      <c r="B28" s="51" t="s">
        <v>58</v>
      </c>
      <c r="C28" s="109">
        <f t="shared" si="0"/>
        <v>80.581479999999999</v>
      </c>
      <c r="D28" s="118">
        <v>4.0297599999999996</v>
      </c>
      <c r="E28" s="109">
        <v>76.551720000000003</v>
      </c>
      <c r="F28" s="109">
        <f t="shared" si="1"/>
        <v>433.30592999999999</v>
      </c>
      <c r="G28" s="123">
        <v>21.665299999999998</v>
      </c>
      <c r="H28" s="123">
        <v>411.64062999999999</v>
      </c>
      <c r="I28" s="109">
        <f t="shared" si="2"/>
        <v>0</v>
      </c>
      <c r="J28" s="111"/>
      <c r="K28" s="110"/>
      <c r="L28" s="13">
        <f t="shared" si="3"/>
        <v>0</v>
      </c>
      <c r="M28" s="13">
        <v>100</v>
      </c>
      <c r="N28" s="16" t="s">
        <v>53</v>
      </c>
      <c r="O28" s="18" t="s">
        <v>54</v>
      </c>
      <c r="P28" s="52" t="s">
        <v>55</v>
      </c>
    </row>
    <row r="29" spans="1:19" ht="45" x14ac:dyDescent="0.25">
      <c r="A29" s="16"/>
      <c r="B29" s="51" t="s">
        <v>59</v>
      </c>
      <c r="C29" s="109">
        <f t="shared" si="0"/>
        <v>79.086550000000003</v>
      </c>
      <c r="D29" s="118">
        <v>27.072669999999999</v>
      </c>
      <c r="E29" s="109">
        <v>52.01388</v>
      </c>
      <c r="F29" s="109">
        <f t="shared" si="1"/>
        <v>201.78351999999998</v>
      </c>
      <c r="G29" s="123">
        <v>33.206719999999997</v>
      </c>
      <c r="H29" s="123">
        <v>168.57679999999999</v>
      </c>
      <c r="I29" s="109">
        <f t="shared" si="2"/>
        <v>0</v>
      </c>
      <c r="J29" s="111"/>
      <c r="K29" s="110"/>
      <c r="L29" s="13">
        <f t="shared" si="3"/>
        <v>0</v>
      </c>
      <c r="M29" s="13">
        <v>100</v>
      </c>
      <c r="N29" s="16" t="s">
        <v>53</v>
      </c>
      <c r="O29" s="18" t="s">
        <v>54</v>
      </c>
      <c r="P29" s="52" t="s">
        <v>55</v>
      </c>
    </row>
    <row r="30" spans="1:19" ht="45" x14ac:dyDescent="0.25">
      <c r="A30" s="88"/>
      <c r="B30" s="48" t="s">
        <v>60</v>
      </c>
      <c r="C30" s="109">
        <f t="shared" si="0"/>
        <v>75.471599999999995</v>
      </c>
      <c r="D30" s="111">
        <v>3.7736000000000001</v>
      </c>
      <c r="E30" s="109">
        <v>71.697999999999993</v>
      </c>
      <c r="F30" s="109">
        <f t="shared" si="1"/>
        <v>94.34</v>
      </c>
      <c r="G30" s="124">
        <v>4.7169999999999996</v>
      </c>
      <c r="H30" s="124">
        <v>89.623000000000005</v>
      </c>
      <c r="I30" s="109">
        <f t="shared" si="2"/>
        <v>0</v>
      </c>
      <c r="J30" s="111"/>
      <c r="K30" s="111"/>
      <c r="L30" s="13">
        <f t="shared" si="3"/>
        <v>0</v>
      </c>
      <c r="M30" s="13">
        <v>100</v>
      </c>
      <c r="N30" s="53" t="s">
        <v>61</v>
      </c>
      <c r="O30" s="54" t="s">
        <v>62</v>
      </c>
      <c r="P30" s="52" t="s">
        <v>55</v>
      </c>
      <c r="Q30" s="154"/>
      <c r="R30" s="121"/>
      <c r="S30" s="121"/>
    </row>
    <row r="31" spans="1:19" ht="45" x14ac:dyDescent="0.25">
      <c r="A31" s="88"/>
      <c r="B31" s="48" t="s">
        <v>63</v>
      </c>
      <c r="C31" s="109">
        <f t="shared" si="0"/>
        <v>71.633070000000004</v>
      </c>
      <c r="D31" s="111">
        <v>3.58324</v>
      </c>
      <c r="E31" s="109">
        <v>68.04983</v>
      </c>
      <c r="F31" s="109">
        <f t="shared" si="1"/>
        <v>683.26530000000002</v>
      </c>
      <c r="G31" s="124">
        <v>34.163260000000001</v>
      </c>
      <c r="H31" s="124">
        <v>649.10203999999999</v>
      </c>
      <c r="I31" s="109">
        <f t="shared" si="2"/>
        <v>0</v>
      </c>
      <c r="J31" s="111"/>
      <c r="K31" s="111"/>
      <c r="L31" s="13">
        <f t="shared" si="3"/>
        <v>0</v>
      </c>
      <c r="M31" s="13">
        <v>100</v>
      </c>
      <c r="N31" s="53" t="s">
        <v>61</v>
      </c>
      <c r="O31" s="54" t="s">
        <v>62</v>
      </c>
      <c r="P31" s="52" t="s">
        <v>55</v>
      </c>
    </row>
    <row r="32" spans="1:19" ht="45" x14ac:dyDescent="0.25">
      <c r="A32" s="88"/>
      <c r="B32" s="48" t="s">
        <v>64</v>
      </c>
      <c r="C32" s="109">
        <f t="shared" si="0"/>
        <v>22.301439999999999</v>
      </c>
      <c r="D32" s="111">
        <v>1.1151899999999999</v>
      </c>
      <c r="E32" s="109">
        <v>21.186250000000001</v>
      </c>
      <c r="F32" s="109">
        <f t="shared" si="1"/>
        <v>92.072519999999997</v>
      </c>
      <c r="G32" s="124">
        <v>4.6036299999999999</v>
      </c>
      <c r="H32" s="123">
        <v>87.468890000000002</v>
      </c>
      <c r="I32" s="109">
        <f t="shared" si="2"/>
        <v>0</v>
      </c>
      <c r="J32" s="111"/>
      <c r="K32" s="111"/>
      <c r="L32" s="13">
        <f t="shared" si="3"/>
        <v>0</v>
      </c>
      <c r="M32" s="13">
        <v>100</v>
      </c>
      <c r="N32" s="53" t="s">
        <v>61</v>
      </c>
      <c r="O32" s="54" t="s">
        <v>62</v>
      </c>
      <c r="P32" s="52" t="s">
        <v>55</v>
      </c>
    </row>
    <row r="33" spans="1:19" ht="45" x14ac:dyDescent="0.25">
      <c r="A33" s="88"/>
      <c r="B33" s="51" t="s">
        <v>65</v>
      </c>
      <c r="C33" s="109">
        <f t="shared" si="0"/>
        <v>25.858610000000002</v>
      </c>
      <c r="D33" s="111">
        <v>1.2926599999999999</v>
      </c>
      <c r="E33" s="109">
        <v>24.565950000000001</v>
      </c>
      <c r="F33" s="109">
        <f t="shared" si="1"/>
        <v>335.87663000000003</v>
      </c>
      <c r="G33" s="124">
        <v>16.79383</v>
      </c>
      <c r="H33" s="123">
        <v>319.08280000000002</v>
      </c>
      <c r="I33" s="109">
        <f t="shared" si="2"/>
        <v>0</v>
      </c>
      <c r="J33" s="111"/>
      <c r="K33" s="111"/>
      <c r="L33" s="13">
        <f t="shared" si="3"/>
        <v>0</v>
      </c>
      <c r="M33" s="13">
        <v>100</v>
      </c>
      <c r="N33" s="53" t="s">
        <v>61</v>
      </c>
      <c r="O33" s="54" t="s">
        <v>62</v>
      </c>
      <c r="P33" s="52" t="s">
        <v>55</v>
      </c>
    </row>
    <row r="34" spans="1:19" ht="45" x14ac:dyDescent="0.25">
      <c r="A34" s="16"/>
      <c r="B34" s="48" t="s">
        <v>66</v>
      </c>
      <c r="C34" s="109">
        <f t="shared" si="0"/>
        <v>38.268130000000006</v>
      </c>
      <c r="D34" s="111">
        <v>1.9134</v>
      </c>
      <c r="E34" s="111">
        <v>36.354730000000004</v>
      </c>
      <c r="F34" s="109">
        <f t="shared" si="1"/>
        <v>415.33638999999999</v>
      </c>
      <c r="G34" s="124">
        <v>20.767389999999999</v>
      </c>
      <c r="H34" s="124">
        <v>394.56900000000002</v>
      </c>
      <c r="I34" s="109">
        <f t="shared" si="2"/>
        <v>0</v>
      </c>
      <c r="J34" s="111"/>
      <c r="K34" s="111"/>
      <c r="L34" s="13">
        <f t="shared" si="3"/>
        <v>0</v>
      </c>
      <c r="M34" s="13">
        <v>100</v>
      </c>
      <c r="N34" s="53" t="s">
        <v>61</v>
      </c>
      <c r="O34" s="54" t="s">
        <v>67</v>
      </c>
      <c r="P34" s="52" t="s">
        <v>55</v>
      </c>
      <c r="Q34" s="154"/>
      <c r="R34" s="121"/>
      <c r="S34" s="121"/>
    </row>
    <row r="35" spans="1:19" ht="45" x14ac:dyDescent="0.25">
      <c r="A35" s="16"/>
      <c r="B35" s="48" t="s">
        <v>68</v>
      </c>
      <c r="C35" s="109">
        <f t="shared" si="0"/>
        <v>32.840339999999998</v>
      </c>
      <c r="D35" s="111">
        <v>1.64428</v>
      </c>
      <c r="E35" s="111">
        <v>31.196059999999999</v>
      </c>
      <c r="F35" s="109">
        <f t="shared" si="1"/>
        <v>388.30707000000001</v>
      </c>
      <c r="G35" s="124">
        <v>19.41535</v>
      </c>
      <c r="H35" s="124">
        <v>368.89172000000002</v>
      </c>
      <c r="I35" s="109">
        <f t="shared" si="2"/>
        <v>0</v>
      </c>
      <c r="J35" s="111"/>
      <c r="K35" s="111"/>
      <c r="L35" s="13">
        <f t="shared" si="3"/>
        <v>0</v>
      </c>
      <c r="M35" s="13">
        <v>100</v>
      </c>
      <c r="N35" s="53" t="s">
        <v>61</v>
      </c>
      <c r="O35" s="54" t="s">
        <v>67</v>
      </c>
      <c r="P35" s="52" t="s">
        <v>55</v>
      </c>
    </row>
    <row r="36" spans="1:19" ht="45" x14ac:dyDescent="0.25">
      <c r="A36" s="16"/>
      <c r="B36" s="48" t="s">
        <v>69</v>
      </c>
      <c r="C36" s="109">
        <f t="shared" si="0"/>
        <v>17.159299999999998</v>
      </c>
      <c r="D36" s="111">
        <v>0.85802</v>
      </c>
      <c r="E36" s="111">
        <v>16.301279999999998</v>
      </c>
      <c r="F36" s="109">
        <f t="shared" si="1"/>
        <v>183.07017999999999</v>
      </c>
      <c r="G36" s="124">
        <v>9.1541800000000002</v>
      </c>
      <c r="H36" s="124">
        <v>173.916</v>
      </c>
      <c r="I36" s="109">
        <f t="shared" si="2"/>
        <v>0</v>
      </c>
      <c r="J36" s="111"/>
      <c r="K36" s="111"/>
      <c r="L36" s="13">
        <f t="shared" si="3"/>
        <v>0</v>
      </c>
      <c r="M36" s="13">
        <v>100</v>
      </c>
      <c r="N36" s="53" t="s">
        <v>61</v>
      </c>
      <c r="O36" s="54" t="s">
        <v>67</v>
      </c>
      <c r="P36" s="52" t="s">
        <v>55</v>
      </c>
    </row>
    <row r="37" spans="1:19" ht="45" x14ac:dyDescent="0.25">
      <c r="A37" s="16"/>
      <c r="B37" s="48" t="s">
        <v>70</v>
      </c>
      <c r="C37" s="109">
        <f t="shared" si="0"/>
        <v>111.10467</v>
      </c>
      <c r="D37" s="111"/>
      <c r="E37" s="111">
        <v>111.10467</v>
      </c>
      <c r="F37" s="109">
        <f t="shared" si="1"/>
        <v>286.05827999999997</v>
      </c>
      <c r="G37" s="124">
        <v>14.303280000000001</v>
      </c>
      <c r="H37" s="124">
        <v>271.755</v>
      </c>
      <c r="I37" s="109">
        <f t="shared" si="2"/>
        <v>0</v>
      </c>
      <c r="J37" s="111"/>
      <c r="K37" s="111"/>
      <c r="L37" s="13">
        <f t="shared" si="3"/>
        <v>0</v>
      </c>
      <c r="M37" s="13">
        <v>100</v>
      </c>
      <c r="N37" s="53" t="s">
        <v>61</v>
      </c>
      <c r="O37" s="54" t="s">
        <v>67</v>
      </c>
      <c r="P37" s="52" t="s">
        <v>55</v>
      </c>
    </row>
    <row r="38" spans="1:19" ht="67.5" x14ac:dyDescent="0.25">
      <c r="A38" s="16"/>
      <c r="B38" s="47" t="s">
        <v>72</v>
      </c>
      <c r="C38" s="109">
        <f t="shared" si="0"/>
        <v>91.309780000000003</v>
      </c>
      <c r="D38" s="111">
        <v>91.309780000000003</v>
      </c>
      <c r="E38" s="111"/>
      <c r="F38" s="109">
        <f t="shared" si="1"/>
        <v>177.73099999999999</v>
      </c>
      <c r="G38" s="111">
        <v>177.73099999999999</v>
      </c>
      <c r="H38" s="109"/>
      <c r="I38" s="109">
        <f t="shared" si="2"/>
        <v>38.834479999999999</v>
      </c>
      <c r="J38" s="110">
        <v>38.834479999999999</v>
      </c>
      <c r="K38" s="128"/>
      <c r="L38" s="13">
        <f t="shared" si="3"/>
        <v>42.530471544231077</v>
      </c>
      <c r="M38" s="13"/>
      <c r="N38" s="2" t="s">
        <v>73</v>
      </c>
      <c r="O38" s="3">
        <v>29</v>
      </c>
      <c r="P38" s="50" t="s">
        <v>74</v>
      </c>
    </row>
    <row r="39" spans="1:19" ht="67.5" x14ac:dyDescent="0.25">
      <c r="A39" s="16"/>
      <c r="B39" s="47" t="s">
        <v>72</v>
      </c>
      <c r="C39" s="109">
        <f t="shared" si="0"/>
        <v>51.856000000000002</v>
      </c>
      <c r="D39" s="111">
        <v>51.856000000000002</v>
      </c>
      <c r="E39" s="111"/>
      <c r="F39" s="109">
        <f t="shared" si="1"/>
        <v>51.856000000000002</v>
      </c>
      <c r="G39" s="111">
        <v>51.856000000000002</v>
      </c>
      <c r="H39" s="109"/>
      <c r="I39" s="109">
        <f t="shared" si="2"/>
        <v>31.12771</v>
      </c>
      <c r="J39" s="110">
        <v>31.12771</v>
      </c>
      <c r="K39" s="128"/>
      <c r="L39" s="13">
        <f t="shared" si="3"/>
        <v>60.027209966059857</v>
      </c>
      <c r="M39" s="13"/>
      <c r="N39" s="2" t="s">
        <v>75</v>
      </c>
      <c r="O39" s="79" t="s">
        <v>76</v>
      </c>
      <c r="P39" s="50" t="s">
        <v>74</v>
      </c>
    </row>
    <row r="40" spans="1:19" ht="56.25" x14ac:dyDescent="0.25">
      <c r="A40" s="16"/>
      <c r="B40" s="47" t="s">
        <v>77</v>
      </c>
      <c r="C40" s="109">
        <f t="shared" si="0"/>
        <v>4.1500000000000004</v>
      </c>
      <c r="D40" s="111">
        <v>4.1500000000000004</v>
      </c>
      <c r="E40" s="111"/>
      <c r="F40" s="109">
        <f t="shared" si="1"/>
        <v>4.1500000000000004</v>
      </c>
      <c r="G40" s="111">
        <v>4.1500000000000004</v>
      </c>
      <c r="H40" s="109"/>
      <c r="I40" s="109">
        <f t="shared" si="2"/>
        <v>4.1500000000000004</v>
      </c>
      <c r="J40" s="110">
        <v>4.1500000000000004</v>
      </c>
      <c r="K40" s="128"/>
      <c r="L40" s="13">
        <f t="shared" si="3"/>
        <v>100</v>
      </c>
      <c r="M40" s="13"/>
      <c r="N40" s="2" t="s">
        <v>78</v>
      </c>
      <c r="O40" s="89">
        <v>41</v>
      </c>
      <c r="P40" s="50" t="s">
        <v>79</v>
      </c>
    </row>
    <row r="41" spans="1:19" ht="45" x14ac:dyDescent="0.25">
      <c r="A41" s="16"/>
      <c r="B41" s="47" t="s">
        <v>80</v>
      </c>
      <c r="C41" s="109">
        <f t="shared" si="0"/>
        <v>6.3587699999999998</v>
      </c>
      <c r="D41" s="111">
        <v>6.3587699999999998</v>
      </c>
      <c r="E41" s="111"/>
      <c r="F41" s="109">
        <f t="shared" si="1"/>
        <v>6.3587699999999998</v>
      </c>
      <c r="G41" s="111">
        <v>6.3587699999999998</v>
      </c>
      <c r="H41" s="109"/>
      <c r="I41" s="109">
        <f t="shared" si="2"/>
        <v>6.3587699999999998</v>
      </c>
      <c r="J41" s="110">
        <v>6.3587699999999998</v>
      </c>
      <c r="K41" s="128"/>
      <c r="L41" s="13">
        <f t="shared" si="3"/>
        <v>100</v>
      </c>
      <c r="M41" s="13"/>
      <c r="N41" s="2" t="s">
        <v>81</v>
      </c>
      <c r="O41" s="89">
        <v>3</v>
      </c>
      <c r="P41" s="50" t="s">
        <v>82</v>
      </c>
    </row>
    <row r="42" spans="1:19" ht="123.75" x14ac:dyDescent="0.25">
      <c r="A42" s="16"/>
      <c r="B42" s="48" t="s">
        <v>83</v>
      </c>
      <c r="C42" s="109">
        <f t="shared" si="0"/>
        <v>3</v>
      </c>
      <c r="D42" s="111"/>
      <c r="E42" s="109">
        <v>3</v>
      </c>
      <c r="F42" s="109">
        <f t="shared" si="1"/>
        <v>3</v>
      </c>
      <c r="G42" s="111"/>
      <c r="H42" s="109">
        <v>3</v>
      </c>
      <c r="I42" s="109">
        <f t="shared" si="2"/>
        <v>2.9769800000000002</v>
      </c>
      <c r="J42" s="110"/>
      <c r="K42" s="128">
        <v>2.9769800000000002</v>
      </c>
      <c r="L42" s="13">
        <f t="shared" si="3"/>
        <v>99.232666666666674</v>
      </c>
      <c r="M42" s="13"/>
      <c r="N42" s="2" t="s">
        <v>84</v>
      </c>
      <c r="O42" s="89" t="s">
        <v>85</v>
      </c>
      <c r="P42" s="60" t="s">
        <v>86</v>
      </c>
      <c r="Q42" s="158"/>
      <c r="R42" s="121"/>
    </row>
    <row r="43" spans="1:19" ht="45" x14ac:dyDescent="0.25">
      <c r="A43" s="16"/>
      <c r="B43" s="47" t="s">
        <v>87</v>
      </c>
      <c r="C43" s="109">
        <f t="shared" si="0"/>
        <v>148.84915000000001</v>
      </c>
      <c r="D43" s="111">
        <v>1.8491500000000001</v>
      </c>
      <c r="E43" s="109">
        <v>147</v>
      </c>
      <c r="F43" s="109">
        <f t="shared" si="1"/>
        <v>148.84915000000001</v>
      </c>
      <c r="G43" s="111">
        <v>1.8491500000000001</v>
      </c>
      <c r="H43" s="109">
        <v>147</v>
      </c>
      <c r="I43" s="109">
        <f t="shared" si="2"/>
        <v>0</v>
      </c>
      <c r="J43" s="110"/>
      <c r="K43" s="128"/>
      <c r="L43" s="13">
        <f t="shared" si="3"/>
        <v>0</v>
      </c>
      <c r="M43" s="13">
        <v>50</v>
      </c>
      <c r="N43" s="2" t="s">
        <v>88</v>
      </c>
      <c r="O43" s="89">
        <v>61</v>
      </c>
      <c r="P43" s="60" t="s">
        <v>89</v>
      </c>
    </row>
    <row r="44" spans="1:19" ht="45" x14ac:dyDescent="0.25">
      <c r="A44" s="16"/>
      <c r="B44" s="47" t="s">
        <v>745</v>
      </c>
      <c r="C44" s="109">
        <f t="shared" si="0"/>
        <v>86.581040000000016</v>
      </c>
      <c r="D44" s="110">
        <f>0.21645+4.11259</f>
        <v>4.32904</v>
      </c>
      <c r="E44" s="128">
        <f>4.11279+78.13921</f>
        <v>82.25200000000001</v>
      </c>
      <c r="F44" s="109">
        <f t="shared" si="1"/>
        <v>86.581040000000016</v>
      </c>
      <c r="G44" s="110">
        <f>0.21645+4.11259</f>
        <v>4.32904</v>
      </c>
      <c r="H44" s="128">
        <f>4.11279+78.13921</f>
        <v>82.25200000000001</v>
      </c>
      <c r="I44" s="109">
        <f t="shared" si="2"/>
        <v>86.581040000000016</v>
      </c>
      <c r="J44" s="110">
        <f>0.21645+4.11259</f>
        <v>4.32904</v>
      </c>
      <c r="K44" s="128">
        <f>4.11279+78.13921</f>
        <v>82.25200000000001</v>
      </c>
      <c r="L44" s="13">
        <f t="shared" si="3"/>
        <v>100</v>
      </c>
      <c r="M44" s="13">
        <v>100</v>
      </c>
      <c r="N44" s="2" t="s">
        <v>609</v>
      </c>
      <c r="O44" s="89">
        <v>28</v>
      </c>
      <c r="P44" s="60" t="s">
        <v>41</v>
      </c>
      <c r="Q44" s="154"/>
    </row>
    <row r="45" spans="1:19" ht="56.25" x14ac:dyDescent="0.25">
      <c r="A45" s="16"/>
      <c r="B45" s="47" t="s">
        <v>746</v>
      </c>
      <c r="C45" s="109">
        <f t="shared" si="0"/>
        <v>232.24893</v>
      </c>
      <c r="D45" s="110">
        <f>0.58009+11.03184</f>
        <v>11.611930000000001</v>
      </c>
      <c r="E45" s="128">
        <f>11.03218+209.60482</f>
        <v>220.637</v>
      </c>
      <c r="F45" s="109">
        <f t="shared" si="1"/>
        <v>232.24893</v>
      </c>
      <c r="G45" s="110">
        <f>0.58009+11.03184</f>
        <v>11.611930000000001</v>
      </c>
      <c r="H45" s="128">
        <f>11.03218+209.60482</f>
        <v>220.637</v>
      </c>
      <c r="I45" s="109">
        <f t="shared" si="2"/>
        <v>232.24893</v>
      </c>
      <c r="J45" s="110">
        <f>0.58009+11.03184</f>
        <v>11.611930000000001</v>
      </c>
      <c r="K45" s="128">
        <f>11.03218+209.60482</f>
        <v>220.637</v>
      </c>
      <c r="L45" s="13">
        <f t="shared" si="3"/>
        <v>100</v>
      </c>
      <c r="M45" s="13">
        <v>100</v>
      </c>
      <c r="N45" s="2" t="s">
        <v>501</v>
      </c>
      <c r="O45" s="89">
        <v>28</v>
      </c>
      <c r="P45" s="60" t="s">
        <v>41</v>
      </c>
    </row>
    <row r="46" spans="1:19" ht="112.5" x14ac:dyDescent="0.25">
      <c r="A46" s="16"/>
      <c r="B46" s="144" t="s">
        <v>778</v>
      </c>
      <c r="C46" s="109">
        <f t="shared" si="0"/>
        <v>4.9580000000000002</v>
      </c>
      <c r="D46" s="111">
        <v>4.9580000000000002</v>
      </c>
      <c r="E46" s="111"/>
      <c r="F46" s="109">
        <f t="shared" si="1"/>
        <v>4.9580000000000002</v>
      </c>
      <c r="G46" s="111">
        <v>4.9580000000000002</v>
      </c>
      <c r="H46" s="109"/>
      <c r="I46" s="109">
        <f t="shared" si="2"/>
        <v>4.9580000000000002</v>
      </c>
      <c r="J46" s="110">
        <v>4.9580000000000002</v>
      </c>
      <c r="K46" s="128"/>
      <c r="L46" s="13">
        <f t="shared" si="3"/>
        <v>100</v>
      </c>
      <c r="M46" s="13">
        <v>100</v>
      </c>
      <c r="N46" s="2" t="s">
        <v>610</v>
      </c>
      <c r="O46" s="89">
        <v>72</v>
      </c>
      <c r="P46" s="60" t="s">
        <v>502</v>
      </c>
    </row>
    <row r="47" spans="1:19" ht="33.75" x14ac:dyDescent="0.25">
      <c r="A47" s="16"/>
      <c r="B47" s="47" t="s">
        <v>747</v>
      </c>
      <c r="C47" s="109">
        <f t="shared" si="0"/>
        <v>65.397890000000004</v>
      </c>
      <c r="D47" s="110">
        <f>1.91513+1.35476</f>
        <v>3.2698900000000002</v>
      </c>
      <c r="E47" s="128">
        <f>36.388+25.74</f>
        <v>62.128</v>
      </c>
      <c r="F47" s="109">
        <f t="shared" si="1"/>
        <v>65.397890000000004</v>
      </c>
      <c r="G47" s="110">
        <f>1.91513+1.35476</f>
        <v>3.2698900000000002</v>
      </c>
      <c r="H47" s="128">
        <f>36.388+25.74</f>
        <v>62.128</v>
      </c>
      <c r="I47" s="109">
        <f t="shared" si="2"/>
        <v>65.397890000000004</v>
      </c>
      <c r="J47" s="110">
        <f>1.91513+1.35476</f>
        <v>3.2698900000000002</v>
      </c>
      <c r="K47" s="128">
        <f>36.388+25.74</f>
        <v>62.128</v>
      </c>
      <c r="L47" s="13">
        <f t="shared" si="3"/>
        <v>100</v>
      </c>
      <c r="M47" s="13">
        <v>100</v>
      </c>
      <c r="N47" s="2" t="s">
        <v>503</v>
      </c>
      <c r="O47" s="89">
        <v>83</v>
      </c>
      <c r="P47" s="100" t="s">
        <v>504</v>
      </c>
      <c r="Q47" s="154"/>
    </row>
    <row r="48" spans="1:19" ht="78.75" x14ac:dyDescent="0.25">
      <c r="A48" s="16"/>
      <c r="B48" s="47" t="s">
        <v>748</v>
      </c>
      <c r="C48" s="109">
        <f t="shared" si="0"/>
        <v>127.23876000000001</v>
      </c>
      <c r="D48" s="110">
        <f>3.73869+2.62307</f>
        <v>6.3617600000000003</v>
      </c>
      <c r="E48" s="128">
        <f>71.039+49.838</f>
        <v>120.87700000000001</v>
      </c>
      <c r="F48" s="109">
        <f t="shared" si="1"/>
        <v>127.23876000000001</v>
      </c>
      <c r="G48" s="110">
        <f>3.73869+2.62307</f>
        <v>6.3617600000000003</v>
      </c>
      <c r="H48" s="128">
        <f>71.039+49.838</f>
        <v>120.87700000000001</v>
      </c>
      <c r="I48" s="109">
        <f t="shared" si="2"/>
        <v>127.23876000000001</v>
      </c>
      <c r="J48" s="110">
        <f>3.73869+2.62307</f>
        <v>6.3617600000000003</v>
      </c>
      <c r="K48" s="128">
        <f>71.039+49.838</f>
        <v>120.87700000000001</v>
      </c>
      <c r="L48" s="13">
        <f t="shared" si="3"/>
        <v>100</v>
      </c>
      <c r="M48" s="13">
        <v>100</v>
      </c>
      <c r="N48" s="2" t="s">
        <v>611</v>
      </c>
      <c r="O48" s="89">
        <v>83</v>
      </c>
      <c r="P48" s="100" t="s">
        <v>504</v>
      </c>
      <c r="Q48" s="154"/>
    </row>
    <row r="49" spans="1:19" ht="33.75" x14ac:dyDescent="0.25">
      <c r="A49" s="16"/>
      <c r="B49" s="47" t="s">
        <v>505</v>
      </c>
      <c r="C49" s="109">
        <f t="shared" si="0"/>
        <v>425.71478999999999</v>
      </c>
      <c r="D49" s="111">
        <v>425.71478999999999</v>
      </c>
      <c r="E49" s="111"/>
      <c r="F49" s="109">
        <f t="shared" si="1"/>
        <v>425.71478999999999</v>
      </c>
      <c r="G49" s="111">
        <v>425.71478999999999</v>
      </c>
      <c r="H49" s="109"/>
      <c r="I49" s="109">
        <f t="shared" si="2"/>
        <v>170.2859</v>
      </c>
      <c r="J49" s="110">
        <v>170.2859</v>
      </c>
      <c r="K49" s="128"/>
      <c r="L49" s="13">
        <f t="shared" si="3"/>
        <v>39.999996241615186</v>
      </c>
      <c r="M49" s="13">
        <v>100</v>
      </c>
      <c r="N49" s="2" t="s">
        <v>612</v>
      </c>
      <c r="O49" s="89">
        <v>92</v>
      </c>
      <c r="P49" s="100" t="s">
        <v>507</v>
      </c>
    </row>
    <row r="50" spans="1:19" ht="53.25" customHeight="1" x14ac:dyDescent="0.25">
      <c r="A50" s="16"/>
      <c r="B50" s="47" t="s">
        <v>779</v>
      </c>
      <c r="C50" s="109">
        <f t="shared" si="0"/>
        <v>17</v>
      </c>
      <c r="D50" s="111">
        <v>17</v>
      </c>
      <c r="E50" s="111"/>
      <c r="F50" s="109">
        <f t="shared" si="1"/>
        <v>17</v>
      </c>
      <c r="G50" s="111">
        <v>17</v>
      </c>
      <c r="H50" s="109"/>
      <c r="I50" s="109">
        <f t="shared" si="2"/>
        <v>11.178570000000001</v>
      </c>
      <c r="J50" s="110">
        <v>11.178570000000001</v>
      </c>
      <c r="K50" s="128"/>
      <c r="L50" s="13">
        <f t="shared" si="3"/>
        <v>65.756294117647059</v>
      </c>
      <c r="M50" s="13"/>
      <c r="N50" s="2" t="s">
        <v>506</v>
      </c>
      <c r="O50" s="89">
        <v>73</v>
      </c>
      <c r="P50" s="100" t="s">
        <v>508</v>
      </c>
    </row>
    <row r="51" spans="1:19" ht="53.25" customHeight="1" x14ac:dyDescent="0.25">
      <c r="A51" s="16"/>
      <c r="B51" s="47" t="s">
        <v>780</v>
      </c>
      <c r="C51" s="109">
        <f t="shared" si="0"/>
        <v>232.43299999999999</v>
      </c>
      <c r="D51" s="111">
        <v>25.454999999999998</v>
      </c>
      <c r="E51" s="111">
        <v>206.97800000000001</v>
      </c>
      <c r="F51" s="109">
        <f t="shared" si="1"/>
        <v>232.43299999999999</v>
      </c>
      <c r="G51" s="111">
        <v>25.454999999999998</v>
      </c>
      <c r="H51" s="111">
        <v>206.97800000000001</v>
      </c>
      <c r="I51" s="109">
        <f t="shared" si="2"/>
        <v>232.42662999999999</v>
      </c>
      <c r="J51" s="110">
        <v>25.45072</v>
      </c>
      <c r="K51" s="128">
        <v>206.97591</v>
      </c>
      <c r="L51" s="13">
        <f t="shared" si="3"/>
        <v>99.997259425296747</v>
      </c>
      <c r="M51" s="13">
        <v>100</v>
      </c>
      <c r="N51" s="2" t="s">
        <v>613</v>
      </c>
      <c r="O51" s="89" t="s">
        <v>575</v>
      </c>
      <c r="P51" s="101" t="s">
        <v>41</v>
      </c>
    </row>
    <row r="52" spans="1:19" ht="53.25" customHeight="1" x14ac:dyDescent="0.25">
      <c r="A52" s="16"/>
      <c r="B52" s="144" t="s">
        <v>781</v>
      </c>
      <c r="C52" s="109">
        <f t="shared" si="0"/>
        <v>106</v>
      </c>
      <c r="D52" s="111">
        <v>6</v>
      </c>
      <c r="E52" s="111">
        <v>100</v>
      </c>
      <c r="F52" s="109">
        <f>G52+H52</f>
        <v>200</v>
      </c>
      <c r="G52" s="111">
        <v>10</v>
      </c>
      <c r="H52" s="111">
        <v>190</v>
      </c>
      <c r="I52" s="109"/>
      <c r="J52" s="110"/>
      <c r="K52" s="128"/>
      <c r="L52" s="13">
        <f t="shared" si="3"/>
        <v>0</v>
      </c>
      <c r="M52" s="13">
        <v>100</v>
      </c>
      <c r="N52" s="2" t="s">
        <v>675</v>
      </c>
      <c r="O52" s="89">
        <v>86</v>
      </c>
      <c r="P52" s="101" t="s">
        <v>41</v>
      </c>
    </row>
    <row r="53" spans="1:19" ht="53.25" customHeight="1" x14ac:dyDescent="0.25">
      <c r="A53" s="16"/>
      <c r="B53" s="144" t="s">
        <v>782</v>
      </c>
      <c r="C53" s="109">
        <f t="shared" si="0"/>
        <v>115</v>
      </c>
      <c r="D53" s="111">
        <v>15</v>
      </c>
      <c r="E53" s="111">
        <v>100</v>
      </c>
      <c r="F53" s="109">
        <f>G53+H53</f>
        <v>245.07599999999999</v>
      </c>
      <c r="G53" s="111">
        <v>115</v>
      </c>
      <c r="H53" s="111">
        <v>130.07599999999999</v>
      </c>
      <c r="I53" s="109"/>
      <c r="J53" s="110"/>
      <c r="K53" s="128"/>
      <c r="L53" s="13">
        <f t="shared" si="3"/>
        <v>0</v>
      </c>
      <c r="M53" s="13">
        <v>90</v>
      </c>
      <c r="N53" s="2" t="s">
        <v>676</v>
      </c>
      <c r="O53" s="89" t="s">
        <v>674</v>
      </c>
      <c r="P53" s="101" t="s">
        <v>41</v>
      </c>
    </row>
    <row r="54" spans="1:19" ht="53.25" customHeight="1" x14ac:dyDescent="0.25">
      <c r="A54" s="16"/>
      <c r="B54" s="144" t="s">
        <v>783</v>
      </c>
      <c r="C54" s="109">
        <f t="shared" si="0"/>
        <v>89.392150000000001</v>
      </c>
      <c r="D54" s="111">
        <v>5</v>
      </c>
      <c r="E54" s="111">
        <v>84.392150000000001</v>
      </c>
      <c r="F54" s="109">
        <f t="shared" ref="F54:F58" si="4">G54+H54</f>
        <v>194.07279</v>
      </c>
      <c r="G54" s="111">
        <v>9.70364</v>
      </c>
      <c r="H54" s="111">
        <v>184.36914999999999</v>
      </c>
      <c r="I54" s="109"/>
      <c r="J54" s="110"/>
      <c r="K54" s="128"/>
      <c r="L54" s="13">
        <f t="shared" si="3"/>
        <v>0</v>
      </c>
      <c r="M54" s="13">
        <v>90</v>
      </c>
      <c r="N54" s="2" t="s">
        <v>677</v>
      </c>
      <c r="O54" s="89" t="s">
        <v>673</v>
      </c>
      <c r="P54" s="101" t="s">
        <v>41</v>
      </c>
    </row>
    <row r="55" spans="1:19" ht="53.25" customHeight="1" x14ac:dyDescent="0.25">
      <c r="A55" s="16"/>
      <c r="B55" s="144" t="s">
        <v>784</v>
      </c>
      <c r="C55" s="109">
        <f t="shared" si="0"/>
        <v>20.277999999999999</v>
      </c>
      <c r="D55" s="111">
        <v>5</v>
      </c>
      <c r="E55" s="111">
        <v>15.278</v>
      </c>
      <c r="F55" s="109">
        <f t="shared" si="4"/>
        <v>200</v>
      </c>
      <c r="G55" s="111">
        <v>10</v>
      </c>
      <c r="H55" s="111">
        <v>190</v>
      </c>
      <c r="I55" s="109"/>
      <c r="J55" s="110"/>
      <c r="K55" s="128"/>
      <c r="L55" s="13">
        <f t="shared" si="3"/>
        <v>0</v>
      </c>
      <c r="M55" s="13">
        <v>90</v>
      </c>
      <c r="N55" s="2" t="s">
        <v>678</v>
      </c>
      <c r="O55" s="89">
        <v>90</v>
      </c>
      <c r="P55" s="101" t="s">
        <v>41</v>
      </c>
    </row>
    <row r="56" spans="1:19" ht="18" customHeight="1" x14ac:dyDescent="0.25">
      <c r="A56" s="16"/>
      <c r="B56" s="73" t="s">
        <v>71</v>
      </c>
      <c r="C56" s="109">
        <f t="shared" ref="C56:C58" si="5">D56+E56</f>
        <v>104.61671</v>
      </c>
      <c r="D56" s="111"/>
      <c r="E56" s="111">
        <v>104.61671</v>
      </c>
      <c r="F56" s="109">
        <f t="shared" si="4"/>
        <v>0</v>
      </c>
      <c r="G56" s="111"/>
      <c r="H56" s="109"/>
      <c r="I56" s="109">
        <f t="shared" ref="I56:I58" si="6">J56+K56</f>
        <v>0</v>
      </c>
      <c r="J56" s="110"/>
      <c r="K56" s="128"/>
      <c r="L56" s="13">
        <f t="shared" ref="L56:L58" si="7">I56/C56*100</f>
        <v>0</v>
      </c>
      <c r="M56" s="13"/>
      <c r="N56" s="2"/>
      <c r="O56" s="3"/>
      <c r="P56" s="16"/>
    </row>
    <row r="57" spans="1:19" ht="18" customHeight="1" x14ac:dyDescent="0.25">
      <c r="A57" s="16"/>
      <c r="B57" s="73" t="s">
        <v>750</v>
      </c>
      <c r="C57" s="109">
        <f t="shared" si="5"/>
        <v>8.0647900000000003</v>
      </c>
      <c r="D57" s="111"/>
      <c r="E57" s="111">
        <v>8.0647900000000003</v>
      </c>
      <c r="F57" s="109">
        <f t="shared" si="4"/>
        <v>0</v>
      </c>
      <c r="G57" s="111"/>
      <c r="H57" s="109"/>
      <c r="I57" s="109">
        <f t="shared" si="6"/>
        <v>0</v>
      </c>
      <c r="J57" s="110"/>
      <c r="K57" s="128"/>
      <c r="L57" s="13">
        <f t="shared" si="7"/>
        <v>0</v>
      </c>
      <c r="M57" s="13"/>
      <c r="N57" s="2"/>
      <c r="O57" s="3"/>
      <c r="P57" s="16"/>
    </row>
    <row r="58" spans="1:19" ht="18" customHeight="1" x14ac:dyDescent="0.25">
      <c r="A58" s="16"/>
      <c r="B58" s="73" t="s">
        <v>749</v>
      </c>
      <c r="C58" s="109">
        <f t="shared" si="5"/>
        <v>4.6100000000000004E-3</v>
      </c>
      <c r="D58" s="111"/>
      <c r="E58" s="111">
        <v>4.6100000000000004E-3</v>
      </c>
      <c r="F58" s="109">
        <f t="shared" si="4"/>
        <v>0</v>
      </c>
      <c r="G58" s="111"/>
      <c r="H58" s="109"/>
      <c r="I58" s="109">
        <f t="shared" si="6"/>
        <v>0</v>
      </c>
      <c r="J58" s="110"/>
      <c r="K58" s="128"/>
      <c r="L58" s="13">
        <f t="shared" si="7"/>
        <v>0</v>
      </c>
      <c r="M58" s="13"/>
      <c r="N58" s="2"/>
      <c r="O58" s="3"/>
      <c r="P58" s="16"/>
    </row>
    <row r="59" spans="1:19" ht="19.5" customHeight="1" x14ac:dyDescent="0.25">
      <c r="A59" s="16"/>
      <c r="B59" s="144"/>
      <c r="C59" s="109">
        <f>D59+E59</f>
        <v>19.311869999999999</v>
      </c>
      <c r="D59" s="111">
        <v>19.311869999999999</v>
      </c>
      <c r="E59" s="111"/>
      <c r="F59" s="109"/>
      <c r="G59" s="111"/>
      <c r="H59" s="111"/>
      <c r="I59" s="109"/>
      <c r="J59" s="110"/>
      <c r="K59" s="128"/>
      <c r="L59" s="13"/>
      <c r="M59" s="13"/>
      <c r="N59" s="2"/>
      <c r="O59" s="89"/>
      <c r="P59" s="101"/>
    </row>
    <row r="60" spans="1:19" x14ac:dyDescent="0.25">
      <c r="A60" s="16"/>
      <c r="B60" s="81" t="s">
        <v>27</v>
      </c>
      <c r="C60" s="109">
        <f t="shared" si="0"/>
        <v>6944.15542</v>
      </c>
      <c r="D60" s="109">
        <f>SUM(D15:D59)</f>
        <v>1369.44272</v>
      </c>
      <c r="E60" s="109">
        <f t="shared" ref="E60:K60" si="8">SUM(E15:E59)</f>
        <v>5574.7127</v>
      </c>
      <c r="F60" s="109">
        <f t="shared" si="8"/>
        <v>10975.801650000001</v>
      </c>
      <c r="G60" s="109">
        <f t="shared" si="8"/>
        <v>1941.6782495000004</v>
      </c>
      <c r="H60" s="109">
        <f t="shared" si="8"/>
        <v>9034.1234004999988</v>
      </c>
      <c r="I60" s="109">
        <f t="shared" si="8"/>
        <v>4878.8037299999996</v>
      </c>
      <c r="J60" s="109">
        <f t="shared" si="8"/>
        <v>975.12744999999995</v>
      </c>
      <c r="K60" s="109">
        <f t="shared" si="8"/>
        <v>3903.6762800000001</v>
      </c>
      <c r="L60" s="13">
        <f t="shared" si="3"/>
        <v>70.257697803658886</v>
      </c>
      <c r="M60" s="13"/>
      <c r="N60" s="16"/>
      <c r="O60" s="3"/>
      <c r="P60" s="3"/>
    </row>
    <row r="61" spans="1:19" x14ac:dyDescent="0.25">
      <c r="A61" s="16"/>
      <c r="B61" s="81"/>
      <c r="C61" s="109"/>
      <c r="D61" s="109"/>
      <c r="E61" s="109"/>
      <c r="F61" s="109"/>
      <c r="G61" s="109"/>
      <c r="H61" s="109"/>
      <c r="I61" s="109"/>
      <c r="J61" s="109"/>
      <c r="K61" s="109"/>
      <c r="L61" s="13"/>
      <c r="M61" s="13"/>
      <c r="N61" s="16"/>
      <c r="O61" s="3"/>
      <c r="P61" s="3"/>
      <c r="R61" s="121"/>
      <c r="S61" s="121"/>
    </row>
    <row r="62" spans="1:19" ht="22.5" x14ac:dyDescent="0.25">
      <c r="A62" s="3" t="s">
        <v>90</v>
      </c>
      <c r="B62" s="81" t="s">
        <v>91</v>
      </c>
      <c r="C62" s="109"/>
      <c r="D62" s="109"/>
      <c r="E62" s="109"/>
      <c r="F62" s="109"/>
      <c r="G62" s="109"/>
      <c r="H62" s="109"/>
      <c r="I62" s="109"/>
      <c r="J62" s="109"/>
      <c r="K62" s="109"/>
      <c r="L62" s="13"/>
      <c r="M62" s="13"/>
      <c r="N62" s="16"/>
      <c r="O62" s="3"/>
      <c r="P62" s="3"/>
    </row>
    <row r="63" spans="1:19" ht="56.25" x14ac:dyDescent="0.25">
      <c r="A63" s="3"/>
      <c r="B63" s="144" t="s">
        <v>615</v>
      </c>
      <c r="C63" s="109">
        <f t="shared" si="0"/>
        <v>18.835569999999997</v>
      </c>
      <c r="D63" s="144">
        <f>22.4928-3.65723</f>
        <v>18.835569999999997</v>
      </c>
      <c r="E63" s="109"/>
      <c r="F63" s="109">
        <f t="shared" si="1"/>
        <v>22.492799999999999</v>
      </c>
      <c r="G63" s="144">
        <v>22.492799999999999</v>
      </c>
      <c r="H63" s="109"/>
      <c r="I63" s="109"/>
      <c r="J63" s="109"/>
      <c r="K63" s="109"/>
      <c r="L63" s="13">
        <f t="shared" si="3"/>
        <v>0</v>
      </c>
      <c r="M63" s="13"/>
      <c r="N63" s="16" t="s">
        <v>616</v>
      </c>
      <c r="O63" s="3" t="s">
        <v>614</v>
      </c>
      <c r="P63" s="144" t="s">
        <v>617</v>
      </c>
      <c r="Q63" s="154"/>
    </row>
    <row r="64" spans="1:19" ht="78.75" x14ac:dyDescent="0.25">
      <c r="A64" s="3"/>
      <c r="B64" s="90" t="s">
        <v>92</v>
      </c>
      <c r="C64" s="109">
        <f t="shared" si="0"/>
        <v>30.649429999999999</v>
      </c>
      <c r="D64" s="109">
        <v>30.649429999999999</v>
      </c>
      <c r="E64" s="109"/>
      <c r="F64" s="109">
        <f t="shared" si="1"/>
        <v>30.649429999999999</v>
      </c>
      <c r="G64" s="109">
        <v>30.649429999999999</v>
      </c>
      <c r="H64" s="109"/>
      <c r="I64" s="109">
        <f t="shared" si="2"/>
        <v>23.639969999999998</v>
      </c>
      <c r="J64" s="109">
        <f>12.75303+10.88694</f>
        <v>23.639969999999998</v>
      </c>
      <c r="K64" s="109"/>
      <c r="L64" s="13">
        <f t="shared" si="3"/>
        <v>77.130210904411598</v>
      </c>
      <c r="M64" s="13">
        <v>100</v>
      </c>
      <c r="N64" s="16" t="s">
        <v>93</v>
      </c>
      <c r="O64" s="3" t="s">
        <v>94</v>
      </c>
      <c r="P64" s="32" t="s">
        <v>95</v>
      </c>
    </row>
    <row r="65" spans="1:17" x14ac:dyDescent="0.25">
      <c r="A65" s="3"/>
      <c r="B65" s="90"/>
      <c r="C65" s="109">
        <f t="shared" ref="C65:J65" si="9">SUM(C63:C64)</f>
        <v>49.484999999999999</v>
      </c>
      <c r="D65" s="109">
        <f t="shared" si="9"/>
        <v>49.484999999999999</v>
      </c>
      <c r="E65" s="109">
        <f t="shared" si="9"/>
        <v>0</v>
      </c>
      <c r="F65" s="109">
        <f t="shared" si="9"/>
        <v>53.142229999999998</v>
      </c>
      <c r="G65" s="109">
        <f t="shared" si="9"/>
        <v>53.142229999999998</v>
      </c>
      <c r="H65" s="109">
        <f t="shared" si="9"/>
        <v>0</v>
      </c>
      <c r="I65" s="109">
        <f t="shared" si="9"/>
        <v>23.639969999999998</v>
      </c>
      <c r="J65" s="109">
        <f t="shared" si="9"/>
        <v>23.639969999999998</v>
      </c>
      <c r="K65" s="109"/>
      <c r="L65" s="13">
        <f t="shared" si="3"/>
        <v>47.771991512579568</v>
      </c>
      <c r="M65" s="13"/>
      <c r="N65" s="16"/>
      <c r="O65" s="3"/>
      <c r="P65" s="32"/>
      <c r="Q65" s="154"/>
    </row>
    <row r="66" spans="1:17" x14ac:dyDescent="0.25">
      <c r="A66" s="3"/>
      <c r="B66" s="90"/>
      <c r="C66" s="109"/>
      <c r="D66" s="109"/>
      <c r="E66" s="109"/>
      <c r="F66" s="109"/>
      <c r="G66" s="109"/>
      <c r="H66" s="109"/>
      <c r="I66" s="109"/>
      <c r="J66" s="109"/>
      <c r="K66" s="109"/>
      <c r="L66" s="13"/>
      <c r="M66" s="13"/>
      <c r="N66" s="16"/>
      <c r="O66" s="3"/>
      <c r="P66" s="32"/>
    </row>
    <row r="67" spans="1:17" ht="42.75" customHeight="1" x14ac:dyDescent="0.25">
      <c r="A67" s="22" t="s">
        <v>96</v>
      </c>
      <c r="B67" s="78" t="s">
        <v>97</v>
      </c>
      <c r="C67" s="109"/>
      <c r="D67" s="113"/>
      <c r="E67" s="113"/>
      <c r="F67" s="109"/>
      <c r="G67" s="113"/>
      <c r="H67" s="113"/>
      <c r="I67" s="109"/>
      <c r="J67" s="113"/>
      <c r="K67" s="113"/>
      <c r="L67" s="13"/>
      <c r="M67" s="13"/>
      <c r="N67" s="10"/>
      <c r="O67" s="10"/>
      <c r="P67" s="11"/>
    </row>
    <row r="68" spans="1:17" ht="78.75" x14ac:dyDescent="0.25">
      <c r="A68" s="3" t="s">
        <v>98</v>
      </c>
      <c r="B68" s="47" t="s">
        <v>99</v>
      </c>
      <c r="C68" s="109">
        <f t="shared" si="0"/>
        <v>195.09339</v>
      </c>
      <c r="D68" s="111">
        <f>41.45173+153.64166</f>
        <v>195.09339</v>
      </c>
      <c r="E68" s="111"/>
      <c r="F68" s="109">
        <f t="shared" si="1"/>
        <v>195.09339</v>
      </c>
      <c r="G68" s="111">
        <f>41.45173+153.64166</f>
        <v>195.09339</v>
      </c>
      <c r="H68" s="111"/>
      <c r="I68" s="109">
        <f t="shared" si="2"/>
        <v>195.09339</v>
      </c>
      <c r="J68" s="111">
        <f>41.45173+153.64166</f>
        <v>195.09339</v>
      </c>
      <c r="K68" s="111"/>
      <c r="L68" s="13">
        <f t="shared" si="3"/>
        <v>100</v>
      </c>
      <c r="M68" s="13"/>
      <c r="N68" s="15" t="s">
        <v>622</v>
      </c>
      <c r="O68" s="47" t="s">
        <v>100</v>
      </c>
      <c r="P68" s="50" t="s">
        <v>101</v>
      </c>
    </row>
    <row r="69" spans="1:17" ht="56.25" x14ac:dyDescent="0.25">
      <c r="A69" s="3" t="s">
        <v>98</v>
      </c>
      <c r="B69" s="52" t="s">
        <v>102</v>
      </c>
      <c r="C69" s="109">
        <f t="shared" si="0"/>
        <v>0.5</v>
      </c>
      <c r="D69" s="118">
        <v>0.5</v>
      </c>
      <c r="E69" s="111"/>
      <c r="F69" s="109">
        <f t="shared" si="1"/>
        <v>0.5</v>
      </c>
      <c r="G69" s="118">
        <v>0.5</v>
      </c>
      <c r="H69" s="111"/>
      <c r="I69" s="109">
        <f t="shared" si="2"/>
        <v>0.5</v>
      </c>
      <c r="J69" s="111">
        <v>0.5</v>
      </c>
      <c r="K69" s="111"/>
      <c r="L69" s="13">
        <f t="shared" si="3"/>
        <v>100</v>
      </c>
      <c r="M69" s="13"/>
      <c r="N69" s="15" t="s">
        <v>103</v>
      </c>
      <c r="O69" s="24">
        <v>10</v>
      </c>
      <c r="P69" s="27" t="s">
        <v>104</v>
      </c>
    </row>
    <row r="70" spans="1:17" ht="56.25" x14ac:dyDescent="0.25">
      <c r="A70" s="3"/>
      <c r="B70" s="47" t="s">
        <v>105</v>
      </c>
      <c r="C70" s="109">
        <f t="shared" si="0"/>
        <v>177.18120999999999</v>
      </c>
      <c r="D70" s="118">
        <v>177.18120999999999</v>
      </c>
      <c r="E70" s="111"/>
      <c r="F70" s="109">
        <f t="shared" si="1"/>
        <v>177.18120999999999</v>
      </c>
      <c r="G70" s="118">
        <v>177.18120999999999</v>
      </c>
      <c r="H70" s="111"/>
      <c r="I70" s="109">
        <f t="shared" si="2"/>
        <v>177.18120999999999</v>
      </c>
      <c r="J70" s="111">
        <f>24.95975+130.28737+3.51952+18.41457</f>
        <v>177.18120999999999</v>
      </c>
      <c r="K70" s="111"/>
      <c r="L70" s="13">
        <f t="shared" si="3"/>
        <v>100</v>
      </c>
      <c r="M70" s="13">
        <v>100</v>
      </c>
      <c r="N70" s="15" t="s">
        <v>106</v>
      </c>
      <c r="O70" s="15" t="s">
        <v>107</v>
      </c>
      <c r="P70" s="50" t="s">
        <v>108</v>
      </c>
    </row>
    <row r="71" spans="1:17" ht="56.25" x14ac:dyDescent="0.25">
      <c r="A71" s="3"/>
      <c r="B71" s="58" t="s">
        <v>109</v>
      </c>
      <c r="C71" s="109">
        <f t="shared" si="0"/>
        <v>1.1274999999999999</v>
      </c>
      <c r="D71" s="111">
        <v>1.1274999999999999</v>
      </c>
      <c r="E71" s="118"/>
      <c r="F71" s="109">
        <f t="shared" si="1"/>
        <v>1.1569400000000001</v>
      </c>
      <c r="G71" s="114">
        <v>1.1569400000000001</v>
      </c>
      <c r="H71" s="111"/>
      <c r="I71" s="109">
        <f t="shared" si="2"/>
        <v>1.1274999999999999</v>
      </c>
      <c r="J71" s="111">
        <v>1.1274999999999999</v>
      </c>
      <c r="K71" s="111"/>
      <c r="L71" s="13">
        <f t="shared" ref="L71:L111" si="10">I71/C71*100</f>
        <v>100</v>
      </c>
      <c r="M71" s="13"/>
      <c r="N71" s="15" t="s">
        <v>110</v>
      </c>
      <c r="O71" s="29">
        <v>9</v>
      </c>
      <c r="P71" s="6" t="s">
        <v>111</v>
      </c>
    </row>
    <row r="72" spans="1:17" ht="38.25" x14ac:dyDescent="0.25">
      <c r="A72" s="3"/>
      <c r="B72" s="47" t="s">
        <v>112</v>
      </c>
      <c r="C72" s="109">
        <f t="shared" si="0"/>
        <v>4.7412400000000003</v>
      </c>
      <c r="D72" s="118">
        <v>4.7412400000000003</v>
      </c>
      <c r="E72" s="111"/>
      <c r="F72" s="109">
        <f t="shared" si="1"/>
        <v>4.7412400000000003</v>
      </c>
      <c r="G72" s="118">
        <v>4.7412400000000003</v>
      </c>
      <c r="H72" s="111"/>
      <c r="I72" s="109">
        <f t="shared" si="2"/>
        <v>4.7412400000000003</v>
      </c>
      <c r="J72" s="111">
        <v>4.7412400000000003</v>
      </c>
      <c r="K72" s="111"/>
      <c r="L72" s="13">
        <f t="shared" si="10"/>
        <v>100</v>
      </c>
      <c r="M72" s="13"/>
      <c r="N72" s="15" t="s">
        <v>113</v>
      </c>
      <c r="O72" s="29">
        <v>160</v>
      </c>
      <c r="P72" s="6" t="s">
        <v>114</v>
      </c>
    </row>
    <row r="73" spans="1:17" ht="57" x14ac:dyDescent="0.25">
      <c r="A73" s="3"/>
      <c r="B73" s="47" t="s">
        <v>115</v>
      </c>
      <c r="C73" s="109">
        <f t="shared" si="0"/>
        <v>1.08432</v>
      </c>
      <c r="D73" s="118">
        <v>1.08432</v>
      </c>
      <c r="E73" s="111"/>
      <c r="F73" s="109">
        <f t="shared" si="1"/>
        <v>1.08432</v>
      </c>
      <c r="G73" s="118">
        <v>1.08432</v>
      </c>
      <c r="H73" s="111"/>
      <c r="I73" s="109">
        <f t="shared" si="2"/>
        <v>1.08432</v>
      </c>
      <c r="J73" s="111">
        <v>1.08432</v>
      </c>
      <c r="K73" s="111"/>
      <c r="L73" s="13">
        <f t="shared" si="10"/>
        <v>100</v>
      </c>
      <c r="M73" s="13"/>
      <c r="N73" s="15" t="s">
        <v>116</v>
      </c>
      <c r="O73" s="29">
        <v>155</v>
      </c>
      <c r="P73" s="6" t="s">
        <v>111</v>
      </c>
      <c r="Q73" s="153" t="s">
        <v>708</v>
      </c>
    </row>
    <row r="74" spans="1:17" ht="45" x14ac:dyDescent="0.25">
      <c r="A74" s="3"/>
      <c r="B74" s="91" t="s">
        <v>117</v>
      </c>
      <c r="C74" s="109">
        <f t="shared" si="0"/>
        <v>1.91015</v>
      </c>
      <c r="D74" s="118">
        <v>1.91015</v>
      </c>
      <c r="E74" s="111"/>
      <c r="F74" s="109">
        <f t="shared" si="1"/>
        <v>1.91015</v>
      </c>
      <c r="G74" s="118">
        <v>1.91015</v>
      </c>
      <c r="H74" s="111"/>
      <c r="I74" s="109">
        <f t="shared" si="2"/>
        <v>1.91015</v>
      </c>
      <c r="J74" s="111">
        <v>1.91015</v>
      </c>
      <c r="K74" s="111"/>
      <c r="L74" s="13">
        <f t="shared" si="10"/>
        <v>100</v>
      </c>
      <c r="M74" s="13"/>
      <c r="N74" s="15" t="s">
        <v>118</v>
      </c>
      <c r="O74" s="31" t="s">
        <v>119</v>
      </c>
      <c r="P74" s="6" t="s">
        <v>111</v>
      </c>
    </row>
    <row r="75" spans="1:17" ht="76.5" x14ac:dyDescent="0.25">
      <c r="A75" s="3"/>
      <c r="B75" s="47" t="s">
        <v>120</v>
      </c>
      <c r="C75" s="109">
        <f t="shared" si="0"/>
        <v>3</v>
      </c>
      <c r="D75" s="109">
        <v>3</v>
      </c>
      <c r="E75" s="111"/>
      <c r="F75" s="109">
        <f t="shared" si="1"/>
        <v>3</v>
      </c>
      <c r="G75" s="111">
        <v>3</v>
      </c>
      <c r="H75" s="111"/>
      <c r="I75" s="109">
        <f t="shared" si="2"/>
        <v>3</v>
      </c>
      <c r="J75" s="111">
        <v>3</v>
      </c>
      <c r="K75" s="111"/>
      <c r="L75" s="13">
        <f t="shared" si="10"/>
        <v>100</v>
      </c>
      <c r="M75" s="13"/>
      <c r="N75" s="15" t="s">
        <v>761</v>
      </c>
      <c r="O75" s="74" t="s">
        <v>762</v>
      </c>
      <c r="P75" s="37" t="s">
        <v>121</v>
      </c>
    </row>
    <row r="76" spans="1:17" ht="78.75" x14ac:dyDescent="0.25">
      <c r="A76" s="3"/>
      <c r="B76" s="47" t="s">
        <v>122</v>
      </c>
      <c r="C76" s="109">
        <f t="shared" si="0"/>
        <v>8.4</v>
      </c>
      <c r="D76" s="118">
        <v>8.4</v>
      </c>
      <c r="E76" s="111"/>
      <c r="F76" s="109">
        <f t="shared" si="1"/>
        <v>8.4</v>
      </c>
      <c r="G76" s="118">
        <v>8.4</v>
      </c>
      <c r="H76" s="111"/>
      <c r="I76" s="109">
        <f t="shared" si="2"/>
        <v>8.4</v>
      </c>
      <c r="J76" s="111">
        <f>2.4+0.6+0.6+0.6+4.2</f>
        <v>8.4</v>
      </c>
      <c r="K76" s="111"/>
      <c r="L76" s="13">
        <f t="shared" si="10"/>
        <v>100</v>
      </c>
      <c r="M76" s="13"/>
      <c r="N76" s="15" t="s">
        <v>763</v>
      </c>
      <c r="O76" s="74" t="s">
        <v>764</v>
      </c>
      <c r="P76" s="37" t="s">
        <v>101</v>
      </c>
    </row>
    <row r="77" spans="1:17" ht="76.5" x14ac:dyDescent="0.25">
      <c r="A77" s="3"/>
      <c r="B77" s="47" t="s">
        <v>123</v>
      </c>
      <c r="C77" s="109">
        <f t="shared" si="0"/>
        <v>0.8</v>
      </c>
      <c r="D77" s="125">
        <v>0.8</v>
      </c>
      <c r="E77" s="109"/>
      <c r="F77" s="109">
        <f t="shared" si="1"/>
        <v>0.8</v>
      </c>
      <c r="G77" s="125">
        <v>0.8</v>
      </c>
      <c r="H77" s="129"/>
      <c r="I77" s="109">
        <f t="shared" si="2"/>
        <v>0.8</v>
      </c>
      <c r="J77" s="109">
        <f>0.2+0.2+0.4</f>
        <v>0.8</v>
      </c>
      <c r="K77" s="109"/>
      <c r="L77" s="13">
        <f t="shared" si="10"/>
        <v>100</v>
      </c>
      <c r="M77" s="13"/>
      <c r="N77" s="26" t="s">
        <v>765</v>
      </c>
      <c r="O77" s="74" t="s">
        <v>766</v>
      </c>
      <c r="P77" s="74" t="s">
        <v>101</v>
      </c>
    </row>
    <row r="78" spans="1:17" ht="51" x14ac:dyDescent="0.25">
      <c r="A78" s="3"/>
      <c r="B78" s="58" t="s">
        <v>124</v>
      </c>
      <c r="C78" s="109">
        <f t="shared" si="0"/>
        <v>0.87624000000000002</v>
      </c>
      <c r="D78" s="125">
        <v>0.87624000000000002</v>
      </c>
      <c r="E78" s="109"/>
      <c r="F78" s="109">
        <f t="shared" si="1"/>
        <v>0.87624000000000002</v>
      </c>
      <c r="G78" s="125">
        <v>0.87624000000000002</v>
      </c>
      <c r="H78" s="129"/>
      <c r="I78" s="109">
        <f t="shared" si="2"/>
        <v>0.87624000000000002</v>
      </c>
      <c r="J78" s="109">
        <v>0.87624000000000002</v>
      </c>
      <c r="K78" s="109"/>
      <c r="L78" s="13">
        <f t="shared" si="10"/>
        <v>100</v>
      </c>
      <c r="M78" s="13"/>
      <c r="N78" s="26" t="s">
        <v>125</v>
      </c>
      <c r="O78" s="92" t="s">
        <v>126</v>
      </c>
      <c r="P78" s="16" t="s">
        <v>127</v>
      </c>
    </row>
    <row r="79" spans="1:17" ht="23.25" x14ac:dyDescent="0.25">
      <c r="A79" s="3"/>
      <c r="B79" s="30" t="s">
        <v>128</v>
      </c>
      <c r="C79" s="109">
        <f t="shared" si="0"/>
        <v>175.93700000000001</v>
      </c>
      <c r="D79" s="109">
        <v>8.7968499999999992</v>
      </c>
      <c r="E79" s="109">
        <v>167.14015000000001</v>
      </c>
      <c r="F79" s="109">
        <f t="shared" si="1"/>
        <v>193.20600000000002</v>
      </c>
      <c r="G79" s="124">
        <v>9.6602999999999994</v>
      </c>
      <c r="H79" s="122">
        <v>183.54570000000001</v>
      </c>
      <c r="I79" s="109">
        <f t="shared" si="2"/>
        <v>175.93700000000001</v>
      </c>
      <c r="J79" s="109">
        <v>8.7968499999999992</v>
      </c>
      <c r="K79" s="109">
        <v>167.14015000000001</v>
      </c>
      <c r="L79" s="13">
        <f t="shared" si="10"/>
        <v>100</v>
      </c>
      <c r="M79" s="13">
        <v>100</v>
      </c>
      <c r="N79" s="57" t="s">
        <v>129</v>
      </c>
      <c r="O79" s="58">
        <v>74</v>
      </c>
      <c r="P79" s="48" t="s">
        <v>130</v>
      </c>
    </row>
    <row r="80" spans="1:17" ht="45" x14ac:dyDescent="0.25">
      <c r="A80" s="3"/>
      <c r="B80" s="52" t="s">
        <v>131</v>
      </c>
      <c r="C80" s="109">
        <f t="shared" si="0"/>
        <v>0.13100000000000001</v>
      </c>
      <c r="D80" s="125">
        <v>0.13100000000000001</v>
      </c>
      <c r="E80" s="125"/>
      <c r="F80" s="109">
        <f t="shared" si="1"/>
        <v>0.13100000000000001</v>
      </c>
      <c r="G80" s="125">
        <v>0.13100000000000001</v>
      </c>
      <c r="H80" s="125"/>
      <c r="I80" s="109">
        <f t="shared" si="2"/>
        <v>0.13100000000000001</v>
      </c>
      <c r="J80" s="109">
        <v>0.13100000000000001</v>
      </c>
      <c r="K80" s="109"/>
      <c r="L80" s="13">
        <f t="shared" si="10"/>
        <v>100</v>
      </c>
      <c r="M80" s="13"/>
      <c r="N80" s="26" t="s">
        <v>132</v>
      </c>
      <c r="O80" s="29" t="s">
        <v>62</v>
      </c>
      <c r="P80" s="27" t="s">
        <v>133</v>
      </c>
    </row>
    <row r="81" spans="1:17" ht="57" x14ac:dyDescent="0.25">
      <c r="A81" s="3"/>
      <c r="B81" s="59" t="s">
        <v>134</v>
      </c>
      <c r="C81" s="109">
        <f t="shared" si="0"/>
        <v>327.36485999999996</v>
      </c>
      <c r="D81" s="157">
        <v>11.401149999999999</v>
      </c>
      <c r="E81" s="157">
        <v>315.96370999999999</v>
      </c>
      <c r="F81" s="109">
        <f t="shared" si="1"/>
        <v>327.36485999999996</v>
      </c>
      <c r="G81" s="157">
        <v>11.401149999999999</v>
      </c>
      <c r="H81" s="157">
        <v>315.96370999999999</v>
      </c>
      <c r="I81" s="109">
        <f t="shared" si="2"/>
        <v>192.53886999999997</v>
      </c>
      <c r="J81" s="109">
        <f>3.5+5.12694+1</f>
        <v>9.6269400000000012</v>
      </c>
      <c r="K81" s="109">
        <f>66.5+97.41193+19</f>
        <v>182.91192999999998</v>
      </c>
      <c r="L81" s="13">
        <f t="shared" si="10"/>
        <v>58.814764052562019</v>
      </c>
      <c r="M81" s="13">
        <v>100</v>
      </c>
      <c r="N81" s="57" t="s">
        <v>135</v>
      </c>
      <c r="O81" s="57" t="s">
        <v>94</v>
      </c>
      <c r="P81" s="48" t="s">
        <v>136</v>
      </c>
      <c r="Q81" s="153" t="s">
        <v>711</v>
      </c>
    </row>
    <row r="82" spans="1:17" ht="76.5" x14ac:dyDescent="0.25">
      <c r="A82" s="3"/>
      <c r="B82" s="47" t="s">
        <v>137</v>
      </c>
      <c r="C82" s="109">
        <f t="shared" ref="C82:D154" si="11">D82+E82</f>
        <v>1.2</v>
      </c>
      <c r="D82" s="125">
        <v>1.2</v>
      </c>
      <c r="E82" s="125"/>
      <c r="F82" s="109">
        <f t="shared" ref="F82:F154" si="12">G82+H82</f>
        <v>1.2</v>
      </c>
      <c r="G82" s="125">
        <v>1.2</v>
      </c>
      <c r="H82" s="129"/>
      <c r="I82" s="109">
        <f t="shared" ref="G82:I154" si="13">J82+K82</f>
        <v>0.6</v>
      </c>
      <c r="J82" s="111">
        <v>0.6</v>
      </c>
      <c r="K82" s="111"/>
      <c r="L82" s="13">
        <f t="shared" si="10"/>
        <v>50</v>
      </c>
      <c r="M82" s="13"/>
      <c r="N82" s="26" t="s">
        <v>767</v>
      </c>
      <c r="O82" s="74" t="s">
        <v>768</v>
      </c>
      <c r="P82" s="37" t="s">
        <v>101</v>
      </c>
    </row>
    <row r="83" spans="1:17" ht="45" x14ac:dyDescent="0.25">
      <c r="A83" s="3"/>
      <c r="B83" s="52" t="s">
        <v>138</v>
      </c>
      <c r="C83" s="109">
        <f t="shared" si="11"/>
        <v>0.10299999999999999</v>
      </c>
      <c r="D83" s="109">
        <v>0.10299999999999999</v>
      </c>
      <c r="E83" s="125"/>
      <c r="F83" s="109">
        <f t="shared" si="12"/>
        <v>0.10299999999999999</v>
      </c>
      <c r="G83" s="109">
        <v>0.10299999999999999</v>
      </c>
      <c r="H83" s="129"/>
      <c r="I83" s="109">
        <f t="shared" si="13"/>
        <v>0.10299999999999999</v>
      </c>
      <c r="J83" s="111">
        <v>0.10299999999999999</v>
      </c>
      <c r="K83" s="111"/>
      <c r="L83" s="13">
        <f t="shared" si="10"/>
        <v>100</v>
      </c>
      <c r="M83" s="13"/>
      <c r="N83" s="26" t="s">
        <v>139</v>
      </c>
      <c r="O83" s="29" t="s">
        <v>140</v>
      </c>
      <c r="P83" s="27" t="s">
        <v>133</v>
      </c>
    </row>
    <row r="84" spans="1:17" ht="57" x14ac:dyDescent="0.25">
      <c r="A84" s="3"/>
      <c r="B84" s="47" t="s">
        <v>141</v>
      </c>
      <c r="C84" s="109">
        <f t="shared" si="11"/>
        <v>48.617799999999995</v>
      </c>
      <c r="D84" s="111">
        <v>2.4308900000000002</v>
      </c>
      <c r="E84" s="132">
        <v>46.186909999999997</v>
      </c>
      <c r="F84" s="109">
        <f t="shared" si="12"/>
        <v>48.617799999999995</v>
      </c>
      <c r="G84" s="111">
        <v>2.4308900000000002</v>
      </c>
      <c r="H84" s="132">
        <v>46.186909999999997</v>
      </c>
      <c r="I84" s="109">
        <f t="shared" si="13"/>
        <v>48.617799999999995</v>
      </c>
      <c r="J84" s="111">
        <v>2.4308900000000002</v>
      </c>
      <c r="K84" s="132">
        <v>46.186909999999997</v>
      </c>
      <c r="L84" s="13">
        <f t="shared" si="10"/>
        <v>100</v>
      </c>
      <c r="M84" s="13">
        <v>100</v>
      </c>
      <c r="N84" s="57" t="s">
        <v>142</v>
      </c>
      <c r="O84" s="58" t="s">
        <v>143</v>
      </c>
      <c r="P84" s="47" t="s">
        <v>144</v>
      </c>
      <c r="Q84" s="153" t="s">
        <v>712</v>
      </c>
    </row>
    <row r="85" spans="1:17" ht="67.5" x14ac:dyDescent="0.25">
      <c r="A85" s="3"/>
      <c r="B85" s="75" t="s">
        <v>145</v>
      </c>
      <c r="C85" s="109">
        <f t="shared" si="11"/>
        <v>94.997700000000009</v>
      </c>
      <c r="D85" s="111">
        <v>75.934430000000006</v>
      </c>
      <c r="E85" s="111">
        <v>19.063269999999999</v>
      </c>
      <c r="F85" s="109">
        <f t="shared" si="12"/>
        <v>94.997700000000009</v>
      </c>
      <c r="G85" s="111">
        <v>75.934430000000006</v>
      </c>
      <c r="H85" s="111">
        <v>19.063269999999999</v>
      </c>
      <c r="I85" s="109">
        <f t="shared" si="13"/>
        <v>73.639350000000007</v>
      </c>
      <c r="J85" s="111">
        <v>54.576080000000005</v>
      </c>
      <c r="K85" s="111">
        <v>19.063269999999999</v>
      </c>
      <c r="L85" s="13">
        <f t="shared" si="10"/>
        <v>77.516981990090287</v>
      </c>
      <c r="M85" s="13">
        <v>100</v>
      </c>
      <c r="N85" s="57" t="s">
        <v>146</v>
      </c>
      <c r="O85" s="58" t="s">
        <v>147</v>
      </c>
      <c r="P85" s="47" t="s">
        <v>148</v>
      </c>
      <c r="Q85" s="153" t="s">
        <v>713</v>
      </c>
    </row>
    <row r="86" spans="1:17" ht="56.25" x14ac:dyDescent="0.25">
      <c r="A86" s="3"/>
      <c r="B86" s="52" t="s">
        <v>149</v>
      </c>
      <c r="C86" s="109">
        <f t="shared" si="11"/>
        <v>4.55</v>
      </c>
      <c r="D86" s="109">
        <v>4.55</v>
      </c>
      <c r="E86" s="109"/>
      <c r="F86" s="109">
        <f t="shared" si="12"/>
        <v>4.55</v>
      </c>
      <c r="G86" s="109">
        <v>4.55</v>
      </c>
      <c r="H86" s="129"/>
      <c r="I86" s="109">
        <f t="shared" si="13"/>
        <v>4.55</v>
      </c>
      <c r="J86" s="111">
        <v>4.55</v>
      </c>
      <c r="K86" s="111"/>
      <c r="L86" s="13">
        <f t="shared" si="10"/>
        <v>100</v>
      </c>
      <c r="M86" s="13">
        <v>100</v>
      </c>
      <c r="N86" s="16" t="s">
        <v>150</v>
      </c>
      <c r="O86" s="29" t="s">
        <v>151</v>
      </c>
      <c r="P86" s="27" t="s">
        <v>152</v>
      </c>
    </row>
    <row r="87" spans="1:17" ht="135" x14ac:dyDescent="0.25">
      <c r="A87" s="3"/>
      <c r="B87" s="93" t="s">
        <v>153</v>
      </c>
      <c r="C87" s="109">
        <f t="shared" si="11"/>
        <v>424.04795999999999</v>
      </c>
      <c r="D87" s="118">
        <v>424.04795999999999</v>
      </c>
      <c r="E87" s="109"/>
      <c r="F87" s="109">
        <f t="shared" si="12"/>
        <v>424.04795999999999</v>
      </c>
      <c r="G87" s="118">
        <v>424.04795999999999</v>
      </c>
      <c r="H87" s="129"/>
      <c r="I87" s="109">
        <f t="shared" si="13"/>
        <v>403.21860000000004</v>
      </c>
      <c r="J87" s="111">
        <f>99.82584+162.65879+16.89167+123.8423</f>
        <v>403.21860000000004</v>
      </c>
      <c r="K87" s="111"/>
      <c r="L87" s="13">
        <f t="shared" si="10"/>
        <v>95.087970709728225</v>
      </c>
      <c r="M87" s="13">
        <v>100</v>
      </c>
      <c r="N87" s="15" t="s">
        <v>154</v>
      </c>
      <c r="O87" s="6">
        <v>6</v>
      </c>
      <c r="P87" s="21" t="s">
        <v>155</v>
      </c>
    </row>
    <row r="88" spans="1:17" ht="67.5" x14ac:dyDescent="0.25">
      <c r="A88" s="3"/>
      <c r="B88" s="76" t="s">
        <v>156</v>
      </c>
      <c r="C88" s="109">
        <f t="shared" si="11"/>
        <v>53.9</v>
      </c>
      <c r="D88" s="118">
        <v>53.9</v>
      </c>
      <c r="E88" s="111"/>
      <c r="F88" s="109">
        <f t="shared" si="12"/>
        <v>53.9</v>
      </c>
      <c r="G88" s="118">
        <v>53.9</v>
      </c>
      <c r="H88" s="111"/>
      <c r="I88" s="109">
        <f t="shared" si="13"/>
        <v>13.85768</v>
      </c>
      <c r="J88" s="111">
        <v>13.85768</v>
      </c>
      <c r="K88" s="111"/>
      <c r="L88" s="13">
        <f t="shared" si="10"/>
        <v>25.709981447124303</v>
      </c>
      <c r="M88" s="13"/>
      <c r="N88" s="57" t="s">
        <v>157</v>
      </c>
      <c r="O88" s="58" t="s">
        <v>158</v>
      </c>
      <c r="P88" s="5" t="s">
        <v>159</v>
      </c>
    </row>
    <row r="89" spans="1:17" ht="101.25" x14ac:dyDescent="0.25">
      <c r="A89" s="3"/>
      <c r="B89" s="93" t="s">
        <v>160</v>
      </c>
      <c r="C89" s="109">
        <f t="shared" si="11"/>
        <v>127.777</v>
      </c>
      <c r="D89" s="118">
        <v>127.777</v>
      </c>
      <c r="E89" s="111"/>
      <c r="F89" s="109">
        <f t="shared" si="12"/>
        <v>127.777</v>
      </c>
      <c r="G89" s="118">
        <v>127.777</v>
      </c>
      <c r="H89" s="111"/>
      <c r="I89" s="109">
        <f t="shared" si="13"/>
        <v>41.38158</v>
      </c>
      <c r="J89" s="111">
        <v>41.38158</v>
      </c>
      <c r="K89" s="111"/>
      <c r="L89" s="13">
        <f t="shared" si="10"/>
        <v>32.38578147866987</v>
      </c>
      <c r="M89" s="13"/>
      <c r="N89" s="15" t="s">
        <v>161</v>
      </c>
      <c r="O89" s="24">
        <v>2</v>
      </c>
      <c r="P89" s="21" t="s">
        <v>162</v>
      </c>
    </row>
    <row r="90" spans="1:17" ht="45" x14ac:dyDescent="0.25">
      <c r="A90" s="3"/>
      <c r="B90" s="93" t="s">
        <v>163</v>
      </c>
      <c r="C90" s="109">
        <f t="shared" si="11"/>
        <v>35.195860000000003</v>
      </c>
      <c r="D90" s="126">
        <v>35.195860000000003</v>
      </c>
      <c r="E90" s="111"/>
      <c r="F90" s="109">
        <f t="shared" si="12"/>
        <v>35.195860000000003</v>
      </c>
      <c r="G90" s="126">
        <v>35.195860000000003</v>
      </c>
      <c r="H90" s="111"/>
      <c r="I90" s="109">
        <f t="shared" si="13"/>
        <v>33.281909999999996</v>
      </c>
      <c r="J90" s="109">
        <f>14.00935+15.95605+2.71811+0.5984</f>
        <v>33.281909999999996</v>
      </c>
      <c r="K90" s="111"/>
      <c r="L90" s="13">
        <f t="shared" si="10"/>
        <v>94.562002462789636</v>
      </c>
      <c r="M90" s="13">
        <v>100</v>
      </c>
      <c r="N90" s="28" t="s">
        <v>164</v>
      </c>
      <c r="O90" s="28">
        <v>25</v>
      </c>
      <c r="P90" s="21" t="s">
        <v>165</v>
      </c>
    </row>
    <row r="91" spans="1:17" ht="67.5" x14ac:dyDescent="0.25">
      <c r="A91" s="3"/>
      <c r="B91" s="93" t="s">
        <v>166</v>
      </c>
      <c r="C91" s="109">
        <f t="shared" si="11"/>
        <v>231.55408</v>
      </c>
      <c r="D91" s="118">
        <v>231.55408</v>
      </c>
      <c r="E91" s="111"/>
      <c r="F91" s="109">
        <f t="shared" si="12"/>
        <v>231.55408</v>
      </c>
      <c r="G91" s="118">
        <v>231.55408</v>
      </c>
      <c r="H91" s="111"/>
      <c r="I91" s="109">
        <f t="shared" si="13"/>
        <v>214.01666999999998</v>
      </c>
      <c r="J91" s="111">
        <f>49.37096+17.73653+146.90918</f>
        <v>214.01666999999998</v>
      </c>
      <c r="K91" s="111"/>
      <c r="L91" s="13">
        <f t="shared" si="10"/>
        <v>92.426214213111678</v>
      </c>
      <c r="M91" s="13">
        <v>100</v>
      </c>
      <c r="N91" s="15" t="s">
        <v>154</v>
      </c>
      <c r="O91" s="31" t="s">
        <v>167</v>
      </c>
      <c r="P91" s="21" t="s">
        <v>155</v>
      </c>
    </row>
    <row r="92" spans="1:17" ht="78.75" x14ac:dyDescent="0.25">
      <c r="A92" s="3"/>
      <c r="B92" s="93" t="s">
        <v>168</v>
      </c>
      <c r="C92" s="109">
        <f t="shared" si="11"/>
        <v>746.84</v>
      </c>
      <c r="D92" s="118">
        <v>37.5</v>
      </c>
      <c r="E92" s="111">
        <v>709.34</v>
      </c>
      <c r="F92" s="109">
        <f t="shared" si="12"/>
        <v>800</v>
      </c>
      <c r="G92" s="118">
        <v>45</v>
      </c>
      <c r="H92" s="111">
        <v>755</v>
      </c>
      <c r="I92" s="109">
        <f t="shared" si="13"/>
        <v>746.59352999999999</v>
      </c>
      <c r="J92" s="111">
        <f>7.79225+22.49958+6.72427+0.26015</f>
        <v>37.276250000000005</v>
      </c>
      <c r="K92" s="111">
        <f>148.053+452.4961+108.76818</f>
        <v>709.31727999999998</v>
      </c>
      <c r="L92" s="13">
        <f t="shared" si="10"/>
        <v>99.966998286112158</v>
      </c>
      <c r="M92" s="13">
        <v>100</v>
      </c>
      <c r="N92" s="46" t="s">
        <v>169</v>
      </c>
      <c r="O92" s="94">
        <v>21</v>
      </c>
      <c r="P92" s="25" t="s">
        <v>170</v>
      </c>
      <c r="Q92" s="153" t="s">
        <v>709</v>
      </c>
    </row>
    <row r="93" spans="1:17" ht="56.25" x14ac:dyDescent="0.25">
      <c r="A93" s="3"/>
      <c r="B93" s="46" t="s">
        <v>171</v>
      </c>
      <c r="C93" s="109">
        <f t="shared" si="11"/>
        <v>68.67362</v>
      </c>
      <c r="D93" s="111">
        <v>68.67362</v>
      </c>
      <c r="E93" s="111"/>
      <c r="F93" s="109">
        <f t="shared" si="12"/>
        <v>70.440960000000004</v>
      </c>
      <c r="G93" s="118">
        <v>70.440960000000004</v>
      </c>
      <c r="H93" s="111"/>
      <c r="I93" s="109">
        <f t="shared" si="13"/>
        <v>68.67362</v>
      </c>
      <c r="J93" s="111">
        <v>68.67362</v>
      </c>
      <c r="K93" s="111"/>
      <c r="L93" s="13">
        <f t="shared" si="10"/>
        <v>100</v>
      </c>
      <c r="M93" s="13">
        <v>100</v>
      </c>
      <c r="N93" s="15" t="s">
        <v>172</v>
      </c>
      <c r="O93" s="3">
        <v>148</v>
      </c>
      <c r="P93" s="21" t="s">
        <v>165</v>
      </c>
      <c r="Q93" s="153" t="s">
        <v>710</v>
      </c>
    </row>
    <row r="94" spans="1:17" ht="45" x14ac:dyDescent="0.25">
      <c r="A94" s="3"/>
      <c r="B94" s="48" t="s">
        <v>173</v>
      </c>
      <c r="C94" s="109">
        <f t="shared" si="11"/>
        <v>68.251810000000006</v>
      </c>
      <c r="D94" s="118">
        <v>68.251810000000006</v>
      </c>
      <c r="E94" s="111"/>
      <c r="F94" s="109">
        <f t="shared" si="12"/>
        <v>68.251810000000006</v>
      </c>
      <c r="G94" s="118">
        <v>68.251810000000006</v>
      </c>
      <c r="H94" s="111"/>
      <c r="I94" s="109">
        <f t="shared" si="13"/>
        <v>55.81785</v>
      </c>
      <c r="J94" s="111">
        <v>55.81785</v>
      </c>
      <c r="K94" s="111"/>
      <c r="L94" s="13">
        <f t="shared" si="10"/>
        <v>81.782226727760033</v>
      </c>
      <c r="M94" s="13">
        <v>100</v>
      </c>
      <c r="N94" s="15" t="s">
        <v>174</v>
      </c>
      <c r="O94" s="29" t="s">
        <v>175</v>
      </c>
      <c r="P94" s="25" t="s">
        <v>176</v>
      </c>
    </row>
    <row r="95" spans="1:17" ht="56.25" x14ac:dyDescent="0.25">
      <c r="A95" s="3"/>
      <c r="B95" s="48" t="s">
        <v>177</v>
      </c>
      <c r="C95" s="109">
        <f t="shared" si="11"/>
        <v>101.43827</v>
      </c>
      <c r="D95" s="109">
        <v>101.43827</v>
      </c>
      <c r="E95" s="111"/>
      <c r="F95" s="109">
        <f t="shared" si="12"/>
        <v>101.43827</v>
      </c>
      <c r="G95" s="111">
        <v>101.43827</v>
      </c>
      <c r="H95" s="111"/>
      <c r="I95" s="109">
        <f t="shared" si="13"/>
        <v>89.749549999999999</v>
      </c>
      <c r="J95" s="111">
        <v>89.749549999999999</v>
      </c>
      <c r="K95" s="111"/>
      <c r="L95" s="13">
        <f t="shared" si="10"/>
        <v>88.477011684051789</v>
      </c>
      <c r="M95" s="13">
        <v>100</v>
      </c>
      <c r="N95" s="15" t="s">
        <v>178</v>
      </c>
      <c r="O95" s="15" t="s">
        <v>179</v>
      </c>
      <c r="P95" s="25" t="s">
        <v>180</v>
      </c>
    </row>
    <row r="96" spans="1:17" ht="45" x14ac:dyDescent="0.25">
      <c r="A96" s="3"/>
      <c r="B96" s="48" t="s">
        <v>181</v>
      </c>
      <c r="C96" s="109">
        <f t="shared" si="11"/>
        <v>103.82182</v>
      </c>
      <c r="D96" s="111">
        <v>103.82182</v>
      </c>
      <c r="E96" s="111"/>
      <c r="F96" s="109">
        <f t="shared" si="12"/>
        <v>103.82182</v>
      </c>
      <c r="G96" s="111">
        <v>103.82182</v>
      </c>
      <c r="H96" s="111"/>
      <c r="I96" s="109">
        <f t="shared" si="13"/>
        <v>91.021259999999998</v>
      </c>
      <c r="J96" s="111">
        <v>91.021259999999998</v>
      </c>
      <c r="K96" s="111"/>
      <c r="L96" s="13">
        <f t="shared" si="10"/>
        <v>87.670645727458833</v>
      </c>
      <c r="M96" s="13">
        <v>100</v>
      </c>
      <c r="N96" s="15" t="s">
        <v>182</v>
      </c>
      <c r="O96" s="31">
        <v>132</v>
      </c>
      <c r="P96" s="77" t="s">
        <v>180</v>
      </c>
    </row>
    <row r="97" spans="1:17" ht="57" x14ac:dyDescent="0.25">
      <c r="A97" s="3"/>
      <c r="B97" s="47" t="s">
        <v>189</v>
      </c>
      <c r="C97" s="109">
        <f t="shared" si="11"/>
        <v>28.78</v>
      </c>
      <c r="D97" s="111">
        <v>1.4390000000000001</v>
      </c>
      <c r="E97" s="111">
        <v>27.341000000000001</v>
      </c>
      <c r="F97" s="109">
        <f t="shared" si="12"/>
        <v>28.78</v>
      </c>
      <c r="G97" s="111">
        <v>1.4390000000000001</v>
      </c>
      <c r="H97" s="111">
        <v>27.341000000000001</v>
      </c>
      <c r="I97" s="109">
        <f t="shared" si="13"/>
        <v>28.78</v>
      </c>
      <c r="J97" s="111">
        <v>1.4390000000000001</v>
      </c>
      <c r="K97" s="111">
        <v>27.341000000000001</v>
      </c>
      <c r="L97" s="13">
        <f t="shared" si="10"/>
        <v>100</v>
      </c>
      <c r="M97" s="13">
        <v>100</v>
      </c>
      <c r="N97" s="15" t="s">
        <v>190</v>
      </c>
      <c r="O97" s="31" t="s">
        <v>191</v>
      </c>
      <c r="P97" s="50" t="s">
        <v>192</v>
      </c>
      <c r="Q97" s="153" t="s">
        <v>714</v>
      </c>
    </row>
    <row r="98" spans="1:17" ht="76.5" x14ac:dyDescent="0.25">
      <c r="A98" s="3"/>
      <c r="B98" s="47" t="s">
        <v>193</v>
      </c>
      <c r="C98" s="109">
        <f t="shared" si="11"/>
        <v>0.4</v>
      </c>
      <c r="D98" s="118">
        <v>0.4</v>
      </c>
      <c r="E98" s="111"/>
      <c r="F98" s="109">
        <f t="shared" si="12"/>
        <v>0.4</v>
      </c>
      <c r="G98" s="118">
        <v>0.4</v>
      </c>
      <c r="H98" s="111"/>
      <c r="I98" s="109">
        <f t="shared" si="13"/>
        <v>0.2</v>
      </c>
      <c r="J98" s="111">
        <v>0.2</v>
      </c>
      <c r="K98" s="111"/>
      <c r="L98" s="13">
        <f t="shared" si="10"/>
        <v>50</v>
      </c>
      <c r="M98" s="13"/>
      <c r="N98" s="15" t="s">
        <v>769</v>
      </c>
      <c r="O98" s="74" t="s">
        <v>770</v>
      </c>
      <c r="P98" s="50" t="s">
        <v>101</v>
      </c>
    </row>
    <row r="99" spans="1:17" ht="45" x14ac:dyDescent="0.25">
      <c r="A99" s="3"/>
      <c r="B99" s="47" t="s">
        <v>194</v>
      </c>
      <c r="C99" s="109">
        <f t="shared" si="11"/>
        <v>0.12</v>
      </c>
      <c r="D99" s="118">
        <v>0.12</v>
      </c>
      <c r="E99" s="111"/>
      <c r="F99" s="109">
        <f t="shared" si="12"/>
        <v>0.12</v>
      </c>
      <c r="G99" s="118">
        <v>0.12</v>
      </c>
      <c r="H99" s="111"/>
      <c r="I99" s="109">
        <f t="shared" si="13"/>
        <v>0.12</v>
      </c>
      <c r="J99" s="111">
        <v>0.12</v>
      </c>
      <c r="K99" s="111"/>
      <c r="L99" s="13">
        <f t="shared" si="10"/>
        <v>100</v>
      </c>
      <c r="M99" s="13"/>
      <c r="N99" s="15" t="s">
        <v>195</v>
      </c>
      <c r="O99" s="31" t="s">
        <v>196</v>
      </c>
      <c r="P99" s="50" t="s">
        <v>197</v>
      </c>
    </row>
    <row r="100" spans="1:17" ht="56.25" x14ac:dyDescent="0.25">
      <c r="A100" s="3"/>
      <c r="B100" s="95" t="s">
        <v>198</v>
      </c>
      <c r="C100" s="109">
        <f t="shared" si="11"/>
        <v>56.01932</v>
      </c>
      <c r="D100" s="118">
        <v>56.01932</v>
      </c>
      <c r="E100" s="111"/>
      <c r="F100" s="109">
        <f t="shared" si="12"/>
        <v>56.01932</v>
      </c>
      <c r="G100" s="118">
        <v>56.01932</v>
      </c>
      <c r="H100" s="111"/>
      <c r="I100" s="109">
        <f t="shared" si="13"/>
        <v>27.56362</v>
      </c>
      <c r="J100" s="111">
        <v>27.56362</v>
      </c>
      <c r="K100" s="111"/>
      <c r="L100" s="13">
        <f t="shared" si="10"/>
        <v>49.203774697729287</v>
      </c>
      <c r="M100" s="13">
        <v>100</v>
      </c>
      <c r="N100" s="15" t="s">
        <v>199</v>
      </c>
      <c r="O100" s="31" t="s">
        <v>200</v>
      </c>
      <c r="P100" s="96" t="s">
        <v>201</v>
      </c>
    </row>
    <row r="101" spans="1:17" ht="67.5" x14ac:dyDescent="0.25">
      <c r="A101" s="3"/>
      <c r="B101" s="46" t="s">
        <v>202</v>
      </c>
      <c r="C101" s="109">
        <f t="shared" si="11"/>
        <v>69.389449999999997</v>
      </c>
      <c r="D101" s="109">
        <f t="shared" si="11"/>
        <v>69.389449999999997</v>
      </c>
      <c r="E101" s="111"/>
      <c r="F101" s="109">
        <f t="shared" si="12"/>
        <v>69.389449999999997</v>
      </c>
      <c r="G101" s="109">
        <f t="shared" si="13"/>
        <v>69.389449999999997</v>
      </c>
      <c r="H101" s="111"/>
      <c r="I101" s="109">
        <f t="shared" si="13"/>
        <v>69.389449999999997</v>
      </c>
      <c r="J101" s="111">
        <v>69.389449999999997</v>
      </c>
      <c r="K101" s="111"/>
      <c r="L101" s="13">
        <f t="shared" si="10"/>
        <v>100</v>
      </c>
      <c r="M101" s="13">
        <v>100</v>
      </c>
      <c r="N101" s="15" t="s">
        <v>203</v>
      </c>
      <c r="O101" s="31" t="s">
        <v>204</v>
      </c>
      <c r="P101" s="32" t="s">
        <v>205</v>
      </c>
    </row>
    <row r="102" spans="1:17" ht="45" x14ac:dyDescent="0.25">
      <c r="A102" s="3"/>
      <c r="B102" s="46" t="s">
        <v>785</v>
      </c>
      <c r="C102" s="109">
        <f t="shared" si="11"/>
        <v>72.110439999999997</v>
      </c>
      <c r="D102" s="118">
        <v>72.110439999999997</v>
      </c>
      <c r="E102" s="111"/>
      <c r="F102" s="109">
        <f t="shared" si="12"/>
        <v>72.110039999999998</v>
      </c>
      <c r="G102" s="118">
        <v>72.110039999999998</v>
      </c>
      <c r="H102" s="111"/>
      <c r="I102" s="109">
        <f t="shared" si="13"/>
        <v>14.71261</v>
      </c>
      <c r="J102" s="111">
        <v>14.71261</v>
      </c>
      <c r="K102" s="111"/>
      <c r="L102" s="13">
        <f t="shared" si="10"/>
        <v>20.402884797263752</v>
      </c>
      <c r="M102" s="13">
        <v>100</v>
      </c>
      <c r="N102" s="15" t="s">
        <v>206</v>
      </c>
      <c r="O102" s="31" t="s">
        <v>207</v>
      </c>
      <c r="P102" s="32" t="s">
        <v>208</v>
      </c>
    </row>
    <row r="103" spans="1:17" ht="33.75" x14ac:dyDescent="0.25">
      <c r="A103" s="3"/>
      <c r="B103" s="46" t="s">
        <v>209</v>
      </c>
      <c r="C103" s="109">
        <f t="shared" si="11"/>
        <v>19.47</v>
      </c>
      <c r="D103" s="118">
        <v>19.47</v>
      </c>
      <c r="E103" s="111"/>
      <c r="F103" s="109">
        <f t="shared" si="12"/>
        <v>19.47</v>
      </c>
      <c r="G103" s="118">
        <v>19.47</v>
      </c>
      <c r="H103" s="111"/>
      <c r="I103" s="109">
        <f t="shared" si="13"/>
        <v>19.47</v>
      </c>
      <c r="J103" s="111">
        <v>19.47</v>
      </c>
      <c r="K103" s="111"/>
      <c r="L103" s="13">
        <f t="shared" si="10"/>
        <v>100</v>
      </c>
      <c r="M103" s="13">
        <v>100</v>
      </c>
      <c r="N103" s="15" t="s">
        <v>210</v>
      </c>
      <c r="O103" s="31" t="s">
        <v>211</v>
      </c>
      <c r="P103" s="32" t="s">
        <v>165</v>
      </c>
    </row>
    <row r="104" spans="1:17" ht="67.5" x14ac:dyDescent="0.25">
      <c r="A104" s="3"/>
      <c r="B104" s="100" t="s">
        <v>509</v>
      </c>
      <c r="C104" s="109">
        <f t="shared" si="11"/>
        <v>1.57846</v>
      </c>
      <c r="D104" s="111">
        <v>1.57846</v>
      </c>
      <c r="E104" s="111"/>
      <c r="F104" s="109">
        <f t="shared" si="12"/>
        <v>1.57846</v>
      </c>
      <c r="G104" s="111">
        <v>1.57846</v>
      </c>
      <c r="H104" s="111"/>
      <c r="I104" s="109">
        <f t="shared" si="13"/>
        <v>1.57846</v>
      </c>
      <c r="J104" s="111">
        <v>1.57846</v>
      </c>
      <c r="K104" s="111"/>
      <c r="L104" s="13">
        <f t="shared" si="10"/>
        <v>100</v>
      </c>
      <c r="M104" s="13"/>
      <c r="N104" s="15" t="s">
        <v>618</v>
      </c>
      <c r="O104" s="31" t="s">
        <v>510</v>
      </c>
      <c r="P104" s="32" t="s">
        <v>405</v>
      </c>
    </row>
    <row r="105" spans="1:17" ht="67.5" x14ac:dyDescent="0.25">
      <c r="A105" s="3"/>
      <c r="B105" s="100" t="s">
        <v>511</v>
      </c>
      <c r="C105" s="109">
        <f t="shared" si="11"/>
        <v>106.89161</v>
      </c>
      <c r="D105" s="118">
        <v>106.89161</v>
      </c>
      <c r="E105" s="111"/>
      <c r="F105" s="109">
        <f t="shared" si="12"/>
        <v>0</v>
      </c>
      <c r="G105" s="118"/>
      <c r="H105" s="111"/>
      <c r="I105" s="109">
        <f t="shared" si="13"/>
        <v>79.46199</v>
      </c>
      <c r="J105" s="111">
        <f>40.45785+39.00414</f>
        <v>79.46199</v>
      </c>
      <c r="K105" s="111"/>
      <c r="L105" s="13">
        <f t="shared" si="10"/>
        <v>74.338846612938099</v>
      </c>
      <c r="M105" s="13"/>
      <c r="N105" s="15" t="s">
        <v>619</v>
      </c>
      <c r="O105" s="101" t="s">
        <v>626</v>
      </c>
      <c r="P105" s="101" t="s">
        <v>512</v>
      </c>
      <c r="Q105" s="153" t="s">
        <v>98</v>
      </c>
    </row>
    <row r="106" spans="1:17" ht="45" x14ac:dyDescent="0.25">
      <c r="A106" s="3"/>
      <c r="B106" s="101" t="s">
        <v>513</v>
      </c>
      <c r="C106" s="109">
        <f t="shared" si="11"/>
        <v>2.93031</v>
      </c>
      <c r="D106" s="111">
        <v>2.93031</v>
      </c>
      <c r="E106" s="111"/>
      <c r="F106" s="109">
        <f t="shared" si="12"/>
        <v>2.93031</v>
      </c>
      <c r="G106" s="111">
        <v>2.93031</v>
      </c>
      <c r="H106" s="111"/>
      <c r="I106" s="109">
        <f t="shared" si="13"/>
        <v>2.93031</v>
      </c>
      <c r="J106" s="111">
        <v>2.93031</v>
      </c>
      <c r="K106" s="111"/>
      <c r="L106" s="13">
        <f t="shared" si="10"/>
        <v>100</v>
      </c>
      <c r="M106" s="13">
        <v>100</v>
      </c>
      <c r="N106" s="15" t="s">
        <v>620</v>
      </c>
      <c r="O106" s="31" t="s">
        <v>514</v>
      </c>
      <c r="P106" s="101" t="s">
        <v>515</v>
      </c>
    </row>
    <row r="107" spans="1:17" ht="67.5" x14ac:dyDescent="0.25">
      <c r="A107" s="3"/>
      <c r="B107" s="101" t="s">
        <v>516</v>
      </c>
      <c r="C107" s="109">
        <f t="shared" si="11"/>
        <v>1.6</v>
      </c>
      <c r="D107" s="111">
        <v>1.6</v>
      </c>
      <c r="E107" s="111"/>
      <c r="F107" s="109">
        <f t="shared" si="12"/>
        <v>1.6</v>
      </c>
      <c r="G107" s="111">
        <v>1.6</v>
      </c>
      <c r="H107" s="111"/>
      <c r="I107" s="109">
        <f t="shared" si="13"/>
        <v>1.6</v>
      </c>
      <c r="J107" s="111">
        <v>1.6</v>
      </c>
      <c r="K107" s="111"/>
      <c r="L107" s="13">
        <f t="shared" si="10"/>
        <v>100</v>
      </c>
      <c r="M107" s="13"/>
      <c r="N107" s="15" t="s">
        <v>621</v>
      </c>
      <c r="O107" s="101" t="s">
        <v>771</v>
      </c>
      <c r="P107" s="101" t="s">
        <v>101</v>
      </c>
    </row>
    <row r="108" spans="1:17" ht="56.25" x14ac:dyDescent="0.25">
      <c r="A108" s="3"/>
      <c r="B108" s="101" t="s">
        <v>549</v>
      </c>
      <c r="C108" s="109">
        <f t="shared" si="11"/>
        <v>97.2</v>
      </c>
      <c r="D108" s="118">
        <v>97.2</v>
      </c>
      <c r="E108" s="111"/>
      <c r="F108" s="109">
        <f t="shared" si="12"/>
        <v>147.75</v>
      </c>
      <c r="G108" s="118">
        <v>147.75</v>
      </c>
      <c r="H108" s="111"/>
      <c r="I108" s="109">
        <f t="shared" si="13"/>
        <v>97.165019999999984</v>
      </c>
      <c r="J108" s="111">
        <f>30.77354+37.67724+21.549+7.16524</f>
        <v>97.165019999999984</v>
      </c>
      <c r="K108" s="111"/>
      <c r="L108" s="13">
        <f t="shared" si="10"/>
        <v>99.964012345678995</v>
      </c>
      <c r="M108" s="13">
        <v>100</v>
      </c>
      <c r="N108" s="15" t="s">
        <v>550</v>
      </c>
      <c r="O108" s="31" t="s">
        <v>143</v>
      </c>
      <c r="P108" s="32" t="s">
        <v>551</v>
      </c>
    </row>
    <row r="109" spans="1:17" ht="48.75" customHeight="1" x14ac:dyDescent="0.25">
      <c r="A109" s="3"/>
      <c r="B109" s="143" t="s">
        <v>787</v>
      </c>
      <c r="C109" s="109">
        <f t="shared" si="11"/>
        <v>30</v>
      </c>
      <c r="D109" s="118">
        <v>30</v>
      </c>
      <c r="E109" s="111"/>
      <c r="F109" s="109">
        <f t="shared" si="12"/>
        <v>55.031649999999999</v>
      </c>
      <c r="G109" s="118">
        <v>55.031649999999999</v>
      </c>
      <c r="H109" s="111"/>
      <c r="I109" s="109"/>
      <c r="J109" s="111"/>
      <c r="K109" s="111"/>
      <c r="L109" s="13">
        <f t="shared" si="10"/>
        <v>0</v>
      </c>
      <c r="M109" s="13"/>
      <c r="N109" s="15" t="s">
        <v>625</v>
      </c>
      <c r="O109" s="31" t="s">
        <v>623</v>
      </c>
      <c r="P109" s="144" t="s">
        <v>624</v>
      </c>
    </row>
    <row r="110" spans="1:17" ht="112.5" x14ac:dyDescent="0.25">
      <c r="A110" s="3"/>
      <c r="B110" s="143" t="s">
        <v>786</v>
      </c>
      <c r="C110" s="109">
        <f t="shared" si="11"/>
        <v>0.111</v>
      </c>
      <c r="D110" s="118">
        <v>0.111</v>
      </c>
      <c r="E110" s="111"/>
      <c r="F110" s="109">
        <f t="shared" si="12"/>
        <v>0.111</v>
      </c>
      <c r="G110" s="118">
        <v>0.111</v>
      </c>
      <c r="H110" s="111"/>
      <c r="I110" s="109"/>
      <c r="J110" s="111"/>
      <c r="K110" s="111"/>
      <c r="L110" s="13">
        <f t="shared" si="10"/>
        <v>0</v>
      </c>
      <c r="M110" s="13"/>
      <c r="N110" s="15" t="s">
        <v>716</v>
      </c>
      <c r="O110" s="31" t="s">
        <v>715</v>
      </c>
      <c r="P110" s="143" t="s">
        <v>104</v>
      </c>
    </row>
    <row r="111" spans="1:17" ht="60.75" customHeight="1" x14ac:dyDescent="0.25">
      <c r="A111" s="3"/>
      <c r="B111" s="143" t="s">
        <v>788</v>
      </c>
      <c r="C111" s="109">
        <f t="shared" si="11"/>
        <v>6.79</v>
      </c>
      <c r="D111" s="118">
        <v>6.79</v>
      </c>
      <c r="E111" s="111"/>
      <c r="F111" s="109">
        <f t="shared" si="12"/>
        <v>40</v>
      </c>
      <c r="G111" s="118">
        <v>40</v>
      </c>
      <c r="H111" s="111"/>
      <c r="I111" s="109"/>
      <c r="J111" s="111"/>
      <c r="K111" s="111"/>
      <c r="L111" s="13">
        <f t="shared" si="10"/>
        <v>0</v>
      </c>
      <c r="M111" s="13"/>
      <c r="N111" s="15" t="s">
        <v>719</v>
      </c>
      <c r="O111" s="31" t="s">
        <v>717</v>
      </c>
      <c r="P111" s="143" t="s">
        <v>718</v>
      </c>
    </row>
    <row r="112" spans="1:17" ht="19.5" customHeight="1" x14ac:dyDescent="0.25">
      <c r="A112" s="3"/>
      <c r="B112" s="47" t="s">
        <v>183</v>
      </c>
      <c r="C112" s="109">
        <f t="shared" ref="C112:C117" si="14">D112+E112</f>
        <v>1.6000000000000001E-3</v>
      </c>
      <c r="D112" s="111"/>
      <c r="E112" s="111">
        <v>1.6000000000000001E-3</v>
      </c>
      <c r="F112" s="109">
        <f t="shared" ref="F112:F117" si="15">G112+H112</f>
        <v>0</v>
      </c>
      <c r="G112" s="118"/>
      <c r="H112" s="111"/>
      <c r="I112" s="109">
        <f t="shared" ref="I112:I117" si="16">J112+K112</f>
        <v>0</v>
      </c>
      <c r="J112" s="111"/>
      <c r="K112" s="111"/>
      <c r="L112" s="13">
        <f t="shared" ref="L112:L117" si="17">I112/C112*100</f>
        <v>0</v>
      </c>
      <c r="M112" s="13"/>
      <c r="N112" s="15"/>
      <c r="O112" s="31"/>
      <c r="P112" s="143"/>
    </row>
    <row r="113" spans="1:19" ht="19.5" customHeight="1" x14ac:dyDescent="0.25">
      <c r="A113" s="3"/>
      <c r="B113" s="47" t="s">
        <v>184</v>
      </c>
      <c r="C113" s="109">
        <f t="shared" si="14"/>
        <v>0.78917000000000004</v>
      </c>
      <c r="D113" s="111"/>
      <c r="E113" s="111">
        <v>0.78917000000000004</v>
      </c>
      <c r="F113" s="109">
        <f t="shared" si="15"/>
        <v>0</v>
      </c>
      <c r="G113" s="118"/>
      <c r="H113" s="111"/>
      <c r="I113" s="109">
        <f t="shared" si="16"/>
        <v>0</v>
      </c>
      <c r="J113" s="111"/>
      <c r="K113" s="111"/>
      <c r="L113" s="13">
        <f t="shared" si="17"/>
        <v>0</v>
      </c>
      <c r="M113" s="13"/>
      <c r="N113" s="15"/>
      <c r="O113" s="31"/>
      <c r="P113" s="143"/>
    </row>
    <row r="114" spans="1:19" ht="19.5" customHeight="1" x14ac:dyDescent="0.25">
      <c r="A114" s="3"/>
      <c r="B114" s="47" t="s">
        <v>185</v>
      </c>
      <c r="C114" s="109">
        <f t="shared" si="14"/>
        <v>1.7000000000000001E-4</v>
      </c>
      <c r="D114" s="111"/>
      <c r="E114" s="111">
        <v>1.7000000000000001E-4</v>
      </c>
      <c r="F114" s="109">
        <f t="shared" si="15"/>
        <v>0</v>
      </c>
      <c r="G114" s="118"/>
      <c r="H114" s="111"/>
      <c r="I114" s="109">
        <f t="shared" si="16"/>
        <v>0</v>
      </c>
      <c r="J114" s="111"/>
      <c r="K114" s="111"/>
      <c r="L114" s="13">
        <f t="shared" si="17"/>
        <v>0</v>
      </c>
      <c r="M114" s="13"/>
      <c r="N114" s="15"/>
      <c r="O114" s="31"/>
      <c r="P114" s="143"/>
    </row>
    <row r="115" spans="1:19" x14ac:dyDescent="0.25">
      <c r="A115" s="3"/>
      <c r="B115" s="47" t="s">
        <v>186</v>
      </c>
      <c r="C115" s="109">
        <f t="shared" si="14"/>
        <v>3.8999999999999999E-4</v>
      </c>
      <c r="D115" s="111"/>
      <c r="E115" s="111">
        <v>3.8999999999999999E-4</v>
      </c>
      <c r="F115" s="109">
        <f t="shared" si="15"/>
        <v>0</v>
      </c>
      <c r="G115" s="118"/>
      <c r="H115" s="111"/>
      <c r="I115" s="109">
        <f t="shared" si="16"/>
        <v>0</v>
      </c>
      <c r="J115" s="111"/>
      <c r="K115" s="111"/>
      <c r="L115" s="13">
        <f t="shared" si="17"/>
        <v>0</v>
      </c>
      <c r="M115" s="13"/>
      <c r="N115" s="15"/>
      <c r="O115" s="31"/>
      <c r="P115" s="143"/>
    </row>
    <row r="116" spans="1:19" x14ac:dyDescent="0.25">
      <c r="A116" s="3"/>
      <c r="B116" s="47" t="s">
        <v>187</v>
      </c>
      <c r="C116" s="109">
        <f t="shared" si="14"/>
        <v>1.2199999999999999E-3</v>
      </c>
      <c r="D116" s="111"/>
      <c r="E116" s="111">
        <v>1.2199999999999999E-3</v>
      </c>
      <c r="F116" s="109">
        <f t="shared" si="15"/>
        <v>0</v>
      </c>
      <c r="G116" s="118"/>
      <c r="H116" s="111"/>
      <c r="I116" s="109">
        <f t="shared" si="16"/>
        <v>0</v>
      </c>
      <c r="J116" s="111"/>
      <c r="K116" s="111"/>
      <c r="L116" s="13">
        <f t="shared" si="17"/>
        <v>0</v>
      </c>
      <c r="M116" s="13"/>
      <c r="N116" s="15"/>
      <c r="O116" s="31"/>
      <c r="P116" s="143"/>
    </row>
    <row r="117" spans="1:19" x14ac:dyDescent="0.25">
      <c r="A117" s="3"/>
      <c r="B117" s="47" t="s">
        <v>188</v>
      </c>
      <c r="C117" s="109">
        <f t="shared" si="14"/>
        <v>0.48773</v>
      </c>
      <c r="D117" s="111"/>
      <c r="E117" s="111">
        <v>0.48773</v>
      </c>
      <c r="F117" s="109">
        <f t="shared" si="15"/>
        <v>0</v>
      </c>
      <c r="G117" s="118"/>
      <c r="H117" s="111"/>
      <c r="I117" s="109">
        <f t="shared" si="16"/>
        <v>0</v>
      </c>
      <c r="J117" s="111"/>
      <c r="K117" s="111"/>
      <c r="L117" s="13">
        <f t="shared" si="17"/>
        <v>0</v>
      </c>
      <c r="M117" s="13"/>
      <c r="N117" s="15"/>
      <c r="O117" s="31"/>
      <c r="P117" s="143"/>
    </row>
    <row r="118" spans="1:19" x14ac:dyDescent="0.25">
      <c r="A118" s="3"/>
      <c r="B118" s="143"/>
      <c r="C118" s="109"/>
      <c r="D118" s="118">
        <v>70.191829999999996</v>
      </c>
      <c r="E118" s="111"/>
      <c r="F118" s="109"/>
      <c r="G118" s="118"/>
      <c r="H118" s="111"/>
      <c r="I118" s="109"/>
      <c r="J118" s="111"/>
      <c r="K118" s="111"/>
      <c r="L118" s="13"/>
      <c r="M118" s="13"/>
      <c r="N118" s="15"/>
      <c r="O118" s="31"/>
      <c r="P118" s="143"/>
    </row>
    <row r="119" spans="1:19" x14ac:dyDescent="0.25">
      <c r="A119" s="3"/>
      <c r="B119" s="78" t="s">
        <v>27</v>
      </c>
      <c r="C119" s="109">
        <f t="shared" si="11"/>
        <v>3573.9785299999994</v>
      </c>
      <c r="D119" s="134">
        <f>SUM(D68:D118)</f>
        <v>2287.6632099999997</v>
      </c>
      <c r="E119" s="134">
        <f>SUM(E68:E118)</f>
        <v>1286.3153199999999</v>
      </c>
      <c r="F119" s="109">
        <f t="shared" si="12"/>
        <v>4015.6074800000001</v>
      </c>
      <c r="G119" s="134">
        <v>1904.32582</v>
      </c>
      <c r="H119" s="134">
        <v>2111.2816600000001</v>
      </c>
      <c r="I119" s="109">
        <f t="shared" si="13"/>
        <v>2991.4147799999992</v>
      </c>
      <c r="J119" s="134">
        <f>SUM(J68:J108)</f>
        <v>1839.4542399999993</v>
      </c>
      <c r="K119" s="134">
        <f>SUM(K68:K108)</f>
        <v>1151.9605399999998</v>
      </c>
      <c r="L119" s="13">
        <f>I119/C119*100</f>
        <v>83.699853115793616</v>
      </c>
      <c r="M119" s="13"/>
      <c r="N119" s="16"/>
      <c r="O119" s="79"/>
      <c r="P119" s="3"/>
    </row>
    <row r="120" spans="1:19" x14ac:dyDescent="0.25">
      <c r="A120" s="3"/>
      <c r="B120" s="78"/>
      <c r="C120" s="109"/>
      <c r="D120" s="134"/>
      <c r="E120" s="134"/>
      <c r="F120" s="109"/>
      <c r="G120" s="134"/>
      <c r="H120" s="134"/>
      <c r="I120" s="109"/>
      <c r="J120" s="134"/>
      <c r="K120" s="134"/>
      <c r="L120" s="13"/>
      <c r="M120" s="13"/>
      <c r="N120" s="16"/>
      <c r="O120" s="79"/>
      <c r="P120" s="3"/>
      <c r="R120" s="121"/>
      <c r="S120" s="121"/>
    </row>
    <row r="121" spans="1:19" ht="22.5" x14ac:dyDescent="0.25">
      <c r="A121" s="22" t="s">
        <v>212</v>
      </c>
      <c r="B121" s="4" t="s">
        <v>213</v>
      </c>
      <c r="C121" s="109"/>
      <c r="D121" s="113"/>
      <c r="E121" s="113"/>
      <c r="F121" s="109"/>
      <c r="G121" s="109"/>
      <c r="H121" s="134"/>
      <c r="I121" s="109"/>
      <c r="J121" s="109"/>
      <c r="K121" s="109"/>
      <c r="L121" s="13"/>
      <c r="M121" s="13"/>
      <c r="N121" s="10"/>
      <c r="O121" s="10"/>
      <c r="P121" s="11"/>
    </row>
    <row r="122" spans="1:19" ht="63.75" x14ac:dyDescent="0.25">
      <c r="A122" s="3"/>
      <c r="B122" s="50" t="s">
        <v>214</v>
      </c>
      <c r="C122" s="109">
        <f t="shared" si="11"/>
        <v>454.09964000000002</v>
      </c>
      <c r="D122" s="109">
        <f>53.91354+400.1861</f>
        <v>454.09964000000002</v>
      </c>
      <c r="E122" s="111"/>
      <c r="F122" s="109">
        <f t="shared" si="12"/>
        <v>0</v>
      </c>
      <c r="G122" s="109"/>
      <c r="H122" s="111"/>
      <c r="I122" s="109">
        <f t="shared" si="13"/>
        <v>454.09964000000002</v>
      </c>
      <c r="J122" s="109">
        <f>53.91354+400.1861</f>
        <v>454.09964000000002</v>
      </c>
      <c r="K122" s="111"/>
      <c r="L122" s="13">
        <f>I122/C122*100</f>
        <v>100</v>
      </c>
      <c r="M122" s="13"/>
      <c r="N122" s="9" t="s">
        <v>622</v>
      </c>
      <c r="O122" s="37" t="s">
        <v>627</v>
      </c>
      <c r="P122" s="37" t="s">
        <v>101</v>
      </c>
    </row>
    <row r="123" spans="1:19" ht="51" x14ac:dyDescent="0.25">
      <c r="A123" s="3"/>
      <c r="B123" s="50" t="s">
        <v>215</v>
      </c>
      <c r="C123" s="109">
        <f t="shared" si="11"/>
        <v>190.17723000000001</v>
      </c>
      <c r="D123" s="109">
        <f>249.985-59.80777</f>
        <v>190.17723000000001</v>
      </c>
      <c r="E123" s="111"/>
      <c r="F123" s="109">
        <f t="shared" si="12"/>
        <v>249.98500000000001</v>
      </c>
      <c r="G123" s="109">
        <v>249.98500000000001</v>
      </c>
      <c r="H123" s="111"/>
      <c r="I123" s="109">
        <f t="shared" si="13"/>
        <v>188.02570000000003</v>
      </c>
      <c r="J123" s="109">
        <f>0.6692+124.49925+22.28825+19.109+21.46</f>
        <v>188.02570000000003</v>
      </c>
      <c r="K123" s="111"/>
      <c r="L123" s="13">
        <f>I123/C123*100</f>
        <v>98.868671081180452</v>
      </c>
      <c r="M123" s="13"/>
      <c r="N123" s="9" t="s">
        <v>216</v>
      </c>
      <c r="O123" s="9" t="s">
        <v>217</v>
      </c>
      <c r="P123" s="9" t="s">
        <v>218</v>
      </c>
    </row>
    <row r="124" spans="1:19" ht="67.5" x14ac:dyDescent="0.25">
      <c r="A124" s="3"/>
      <c r="B124" s="101" t="s">
        <v>517</v>
      </c>
      <c r="C124" s="109">
        <f t="shared" si="11"/>
        <v>108.94282</v>
      </c>
      <c r="D124" s="109">
        <f>57.50107+51.44175</f>
        <v>108.94282</v>
      </c>
      <c r="E124" s="111"/>
      <c r="F124" s="109">
        <f t="shared" si="12"/>
        <v>0</v>
      </c>
      <c r="G124" s="109"/>
      <c r="H124" s="111"/>
      <c r="I124" s="109">
        <f t="shared" si="13"/>
        <v>108.94282</v>
      </c>
      <c r="J124" s="109">
        <f>57.50107+51.44175</f>
        <v>108.94282</v>
      </c>
      <c r="K124" s="111"/>
      <c r="L124" s="13">
        <f>I124/C124*100</f>
        <v>100</v>
      </c>
      <c r="M124" s="13"/>
      <c r="N124" s="9" t="s">
        <v>619</v>
      </c>
      <c r="O124" s="101" t="s">
        <v>626</v>
      </c>
      <c r="P124" s="101" t="s">
        <v>512</v>
      </c>
    </row>
    <row r="125" spans="1:19" ht="67.5" x14ac:dyDescent="0.25">
      <c r="A125" s="3"/>
      <c r="B125" s="101" t="s">
        <v>518</v>
      </c>
      <c r="C125" s="109">
        <f t="shared" si="11"/>
        <v>2.4309999999999998E-2</v>
      </c>
      <c r="D125" s="109">
        <v>2.4309999999999998E-2</v>
      </c>
      <c r="E125" s="111"/>
      <c r="F125" s="109">
        <f t="shared" si="12"/>
        <v>0</v>
      </c>
      <c r="G125" s="109"/>
      <c r="H125" s="111"/>
      <c r="I125" s="109">
        <f t="shared" si="13"/>
        <v>2.4309999999999998E-2</v>
      </c>
      <c r="J125" s="109">
        <v>2.4309999999999998E-2</v>
      </c>
      <c r="K125" s="111"/>
      <c r="L125" s="13">
        <f>I125/C125*100</f>
        <v>100</v>
      </c>
      <c r="M125" s="13"/>
      <c r="N125" s="9" t="s">
        <v>628</v>
      </c>
      <c r="O125" s="101" t="s">
        <v>629</v>
      </c>
      <c r="P125" s="101" t="s">
        <v>101</v>
      </c>
    </row>
    <row r="126" spans="1:19" x14ac:dyDescent="0.25">
      <c r="A126" s="23"/>
      <c r="B126" s="80" t="s">
        <v>27</v>
      </c>
      <c r="C126" s="109">
        <f t="shared" si="11"/>
        <v>753.24400000000003</v>
      </c>
      <c r="D126" s="111">
        <f>SUM(D122:D125)</f>
        <v>753.24400000000003</v>
      </c>
      <c r="E126" s="111"/>
      <c r="F126" s="109">
        <f t="shared" si="12"/>
        <v>914.55899999999997</v>
      </c>
      <c r="G126" s="111">
        <v>914.55899999999997</v>
      </c>
      <c r="H126" s="112">
        <v>0</v>
      </c>
      <c r="I126" s="109">
        <f t="shared" si="13"/>
        <v>751.09247000000005</v>
      </c>
      <c r="J126" s="111">
        <f>SUM(J122:J125)</f>
        <v>751.09247000000005</v>
      </c>
      <c r="K126" s="111">
        <f>SUM(K122:K125)</f>
        <v>0</v>
      </c>
      <c r="L126" s="13">
        <f>I126/C126*100</f>
        <v>99.714364800781681</v>
      </c>
      <c r="M126" s="13"/>
      <c r="N126" s="36"/>
      <c r="O126" s="23"/>
      <c r="P126" s="23"/>
    </row>
    <row r="127" spans="1:19" x14ac:dyDescent="0.25">
      <c r="A127" s="23"/>
      <c r="B127" s="80"/>
      <c r="C127" s="109"/>
      <c r="D127" s="111"/>
      <c r="E127" s="111"/>
      <c r="F127" s="109"/>
      <c r="G127" s="111"/>
      <c r="H127" s="112"/>
      <c r="I127" s="109"/>
      <c r="J127" s="111"/>
      <c r="K127" s="111"/>
      <c r="L127" s="13"/>
      <c r="M127" s="13"/>
      <c r="N127" s="36"/>
      <c r="O127" s="23"/>
      <c r="P127" s="23"/>
      <c r="Q127" s="154"/>
    </row>
    <row r="128" spans="1:19" ht="22.5" x14ac:dyDescent="0.25">
      <c r="A128" s="22" t="s">
        <v>219</v>
      </c>
      <c r="B128" s="81" t="s">
        <v>220</v>
      </c>
      <c r="C128" s="109"/>
      <c r="D128" s="113"/>
      <c r="E128" s="113"/>
      <c r="F128" s="109"/>
      <c r="G128" s="109"/>
      <c r="H128" s="134"/>
      <c r="I128" s="109"/>
      <c r="J128" s="109"/>
      <c r="K128" s="109"/>
      <c r="L128" s="13"/>
      <c r="M128" s="13"/>
      <c r="N128" s="10"/>
      <c r="O128" s="10"/>
      <c r="P128" s="11"/>
    </row>
    <row r="129" spans="1:16" ht="58.5" customHeight="1" x14ac:dyDescent="0.25">
      <c r="A129" s="3"/>
      <c r="B129" s="50" t="s">
        <v>221</v>
      </c>
      <c r="C129" s="109">
        <f t="shared" si="11"/>
        <v>0.4</v>
      </c>
      <c r="D129" s="109">
        <v>0.4</v>
      </c>
      <c r="E129" s="111"/>
      <c r="F129" s="109">
        <f t="shared" si="12"/>
        <v>0.4</v>
      </c>
      <c r="G129" s="109">
        <v>0.4</v>
      </c>
      <c r="H129" s="111"/>
      <c r="I129" s="176">
        <f t="shared" si="13"/>
        <v>0.4</v>
      </c>
      <c r="J129" s="109">
        <f>0.2+0.2</f>
        <v>0.4</v>
      </c>
      <c r="K129" s="111"/>
      <c r="L129" s="13">
        <f t="shared" ref="L129:L144" si="18">I129/C129*100</f>
        <v>100</v>
      </c>
      <c r="M129" s="13"/>
      <c r="N129" s="2" t="s">
        <v>630</v>
      </c>
      <c r="O129" s="37" t="s">
        <v>631</v>
      </c>
      <c r="P129" s="50" t="s">
        <v>101</v>
      </c>
    </row>
    <row r="130" spans="1:16" ht="54.75" customHeight="1" x14ac:dyDescent="0.25">
      <c r="A130" s="3"/>
      <c r="B130" s="50" t="s">
        <v>222</v>
      </c>
      <c r="C130" s="109">
        <f t="shared" si="11"/>
        <v>1.2</v>
      </c>
      <c r="D130" s="111">
        <v>1.2</v>
      </c>
      <c r="E130" s="111"/>
      <c r="F130" s="109">
        <f t="shared" si="12"/>
        <v>1.2</v>
      </c>
      <c r="G130" s="111">
        <v>1.2</v>
      </c>
      <c r="H130" s="111"/>
      <c r="I130" s="176">
        <f t="shared" si="13"/>
        <v>1.2</v>
      </c>
      <c r="J130" s="111">
        <f>0.6+0.6</f>
        <v>1.2</v>
      </c>
      <c r="K130" s="111"/>
      <c r="L130" s="13">
        <f t="shared" si="18"/>
        <v>100</v>
      </c>
      <c r="M130" s="13"/>
      <c r="N130" s="2" t="s">
        <v>630</v>
      </c>
      <c r="O130" s="37" t="s">
        <v>631</v>
      </c>
      <c r="P130" s="50" t="s">
        <v>101</v>
      </c>
    </row>
    <row r="131" spans="1:16" ht="52.5" customHeight="1" x14ac:dyDescent="0.25">
      <c r="A131" s="3"/>
      <c r="B131" s="63" t="s">
        <v>223</v>
      </c>
      <c r="C131" s="109">
        <f t="shared" si="11"/>
        <v>3.53</v>
      </c>
      <c r="D131" s="111">
        <v>3.53</v>
      </c>
      <c r="E131" s="111"/>
      <c r="F131" s="109">
        <f t="shared" si="12"/>
        <v>3.53</v>
      </c>
      <c r="G131" s="111">
        <v>3.53</v>
      </c>
      <c r="H131" s="111"/>
      <c r="I131" s="109">
        <f t="shared" si="13"/>
        <v>3.53</v>
      </c>
      <c r="J131" s="111">
        <v>3.53</v>
      </c>
      <c r="K131" s="111"/>
      <c r="L131" s="13">
        <f t="shared" si="18"/>
        <v>100</v>
      </c>
      <c r="M131" s="13"/>
      <c r="N131" s="2" t="s">
        <v>224</v>
      </c>
      <c r="O131" s="20">
        <v>12</v>
      </c>
      <c r="P131" s="27" t="s">
        <v>104</v>
      </c>
    </row>
    <row r="132" spans="1:16" ht="61.5" customHeight="1" x14ac:dyDescent="0.25">
      <c r="A132" s="3"/>
      <c r="B132" s="50" t="s">
        <v>225</v>
      </c>
      <c r="C132" s="109">
        <f t="shared" si="11"/>
        <v>0.8</v>
      </c>
      <c r="D132" s="114">
        <v>0.8</v>
      </c>
      <c r="E132" s="111"/>
      <c r="F132" s="109">
        <f t="shared" si="12"/>
        <v>0.8</v>
      </c>
      <c r="G132" s="114">
        <v>0.8</v>
      </c>
      <c r="H132" s="111"/>
      <c r="I132" s="109">
        <f t="shared" si="13"/>
        <v>0.8</v>
      </c>
      <c r="J132" s="111">
        <f>0.2+0.2+0.4</f>
        <v>0.8</v>
      </c>
      <c r="K132" s="111"/>
      <c r="L132" s="13">
        <f t="shared" si="18"/>
        <v>100</v>
      </c>
      <c r="M132" s="13"/>
      <c r="N132" s="2" t="s">
        <v>641</v>
      </c>
      <c r="O132" s="37" t="s">
        <v>642</v>
      </c>
      <c r="P132" s="37" t="s">
        <v>101</v>
      </c>
    </row>
    <row r="133" spans="1:16" x14ac:dyDescent="0.25">
      <c r="A133" s="3"/>
      <c r="B133" s="47" t="s">
        <v>226</v>
      </c>
      <c r="C133" s="109">
        <f t="shared" si="11"/>
        <v>2.1000000000000001E-4</v>
      </c>
      <c r="D133" s="114"/>
      <c r="E133" s="111">
        <v>2.1000000000000001E-4</v>
      </c>
      <c r="F133" s="109">
        <f t="shared" si="12"/>
        <v>0</v>
      </c>
      <c r="G133" s="114"/>
      <c r="H133" s="111"/>
      <c r="I133" s="109">
        <f t="shared" si="13"/>
        <v>0</v>
      </c>
      <c r="J133" s="111"/>
      <c r="K133" s="111"/>
      <c r="L133" s="13">
        <f t="shared" si="18"/>
        <v>0</v>
      </c>
      <c r="M133" s="13"/>
      <c r="N133" s="2"/>
      <c r="O133" s="37"/>
      <c r="P133" s="37"/>
    </row>
    <row r="134" spans="1:16" ht="76.5" x14ac:dyDescent="0.25">
      <c r="A134" s="3"/>
      <c r="B134" s="50" t="s">
        <v>227</v>
      </c>
      <c r="C134" s="109">
        <f t="shared" si="11"/>
        <v>0.4</v>
      </c>
      <c r="D134" s="114">
        <v>0.4</v>
      </c>
      <c r="E134" s="111"/>
      <c r="F134" s="109">
        <f t="shared" si="12"/>
        <v>0.4</v>
      </c>
      <c r="G134" s="114">
        <v>0.4</v>
      </c>
      <c r="H134" s="111"/>
      <c r="I134" s="109">
        <f t="shared" si="13"/>
        <v>0.30000000000000004</v>
      </c>
      <c r="J134" s="111">
        <f>0.1+0.2</f>
        <v>0.30000000000000004</v>
      </c>
      <c r="K134" s="111"/>
      <c r="L134" s="13">
        <f t="shared" si="18"/>
        <v>75.000000000000014</v>
      </c>
      <c r="M134" s="13"/>
      <c r="N134" s="2" t="s">
        <v>639</v>
      </c>
      <c r="O134" s="37" t="s">
        <v>640</v>
      </c>
      <c r="P134" s="37" t="s">
        <v>101</v>
      </c>
    </row>
    <row r="135" spans="1:16" ht="45" x14ac:dyDescent="0.25">
      <c r="A135" s="3"/>
      <c r="B135" s="61" t="s">
        <v>228</v>
      </c>
      <c r="C135" s="109">
        <f t="shared" si="11"/>
        <v>11.10378</v>
      </c>
      <c r="D135" s="111">
        <v>11.10378</v>
      </c>
      <c r="E135" s="111"/>
      <c r="F135" s="109">
        <f t="shared" si="12"/>
        <v>11.10378</v>
      </c>
      <c r="G135" s="111">
        <v>11.10378</v>
      </c>
      <c r="H135" s="111"/>
      <c r="I135" s="109">
        <f t="shared" si="13"/>
        <v>11.10378</v>
      </c>
      <c r="J135" s="111">
        <v>11.10378</v>
      </c>
      <c r="K135" s="111"/>
      <c r="L135" s="13">
        <f t="shared" si="18"/>
        <v>100</v>
      </c>
      <c r="M135" s="13">
        <v>100</v>
      </c>
      <c r="N135" s="2" t="s">
        <v>229</v>
      </c>
      <c r="O135" s="37" t="s">
        <v>230</v>
      </c>
      <c r="P135" s="21" t="s">
        <v>231</v>
      </c>
    </row>
    <row r="136" spans="1:16" ht="25.5" x14ac:dyDescent="0.25">
      <c r="A136" s="3"/>
      <c r="B136" s="101" t="s">
        <v>789</v>
      </c>
      <c r="C136" s="109">
        <f t="shared" si="11"/>
        <v>6.7661199999999999</v>
      </c>
      <c r="D136" s="111">
        <f>6.76612</f>
        <v>6.7661199999999999</v>
      </c>
      <c r="E136" s="111"/>
      <c r="F136" s="109">
        <f t="shared" si="12"/>
        <v>6.7661199999999999</v>
      </c>
      <c r="G136" s="111">
        <f>6.76612</f>
        <v>6.7661199999999999</v>
      </c>
      <c r="H136" s="111"/>
      <c r="I136" s="109">
        <f t="shared" si="13"/>
        <v>6.7661199999999999</v>
      </c>
      <c r="J136" s="111">
        <f>6.76612</f>
        <v>6.7661199999999999</v>
      </c>
      <c r="K136" s="111"/>
      <c r="L136" s="13">
        <f t="shared" si="18"/>
        <v>100</v>
      </c>
      <c r="M136" s="13">
        <v>100</v>
      </c>
      <c r="N136" s="2" t="s">
        <v>634</v>
      </c>
      <c r="O136" s="37">
        <v>94</v>
      </c>
      <c r="P136" s="21" t="s">
        <v>519</v>
      </c>
    </row>
    <row r="137" spans="1:16" ht="67.5" x14ac:dyDescent="0.25">
      <c r="A137" s="3"/>
      <c r="B137" s="101" t="s">
        <v>790</v>
      </c>
      <c r="C137" s="109">
        <f t="shared" si="11"/>
        <v>0.6</v>
      </c>
      <c r="D137" s="127">
        <v>0.6</v>
      </c>
      <c r="E137" s="111"/>
      <c r="F137" s="109">
        <f t="shared" si="12"/>
        <v>0</v>
      </c>
      <c r="G137" s="127"/>
      <c r="H137" s="111"/>
      <c r="I137" s="109">
        <f t="shared" si="13"/>
        <v>0.3</v>
      </c>
      <c r="J137" s="111">
        <v>0.3</v>
      </c>
      <c r="K137" s="111"/>
      <c r="L137" s="13">
        <f t="shared" si="18"/>
        <v>50</v>
      </c>
      <c r="M137" s="13"/>
      <c r="N137" s="2" t="s">
        <v>635</v>
      </c>
      <c r="O137" s="101" t="s">
        <v>636</v>
      </c>
      <c r="P137" s="101" t="s">
        <v>101</v>
      </c>
    </row>
    <row r="138" spans="1:16" ht="67.5" x14ac:dyDescent="0.25">
      <c r="A138" s="3"/>
      <c r="B138" s="101" t="s">
        <v>791</v>
      </c>
      <c r="C138" s="109">
        <f t="shared" si="11"/>
        <v>1.2</v>
      </c>
      <c r="D138" s="127">
        <v>1.2</v>
      </c>
      <c r="E138" s="111"/>
      <c r="F138" s="109">
        <f t="shared" si="12"/>
        <v>0</v>
      </c>
      <c r="G138" s="127"/>
      <c r="H138" s="111"/>
      <c r="I138" s="109">
        <f t="shared" si="13"/>
        <v>0.6</v>
      </c>
      <c r="J138" s="111">
        <v>0.6</v>
      </c>
      <c r="K138" s="111"/>
      <c r="L138" s="13">
        <f t="shared" si="18"/>
        <v>50</v>
      </c>
      <c r="M138" s="13"/>
      <c r="N138" s="2" t="s">
        <v>637</v>
      </c>
      <c r="O138" s="101" t="s">
        <v>638</v>
      </c>
      <c r="P138" s="101" t="s">
        <v>101</v>
      </c>
    </row>
    <row r="139" spans="1:16" ht="41.25" customHeight="1" x14ac:dyDescent="0.25">
      <c r="A139" s="3"/>
      <c r="B139" s="101" t="s">
        <v>792</v>
      </c>
      <c r="C139" s="109">
        <f t="shared" si="11"/>
        <v>1.2</v>
      </c>
      <c r="D139" s="127">
        <v>1.2</v>
      </c>
      <c r="E139" s="111"/>
      <c r="F139" s="109">
        <f t="shared" si="12"/>
        <v>0</v>
      </c>
      <c r="G139" s="127"/>
      <c r="H139" s="111"/>
      <c r="I139" s="109">
        <f t="shared" si="13"/>
        <v>0.6</v>
      </c>
      <c r="J139" s="111">
        <v>0.6</v>
      </c>
      <c r="K139" s="111"/>
      <c r="L139" s="13">
        <f t="shared" si="18"/>
        <v>50</v>
      </c>
      <c r="M139" s="13"/>
      <c r="N139" s="2" t="s">
        <v>637</v>
      </c>
      <c r="O139" s="101" t="s">
        <v>638</v>
      </c>
      <c r="P139" s="101" t="s">
        <v>101</v>
      </c>
    </row>
    <row r="140" spans="1:16" ht="33.75" x14ac:dyDescent="0.25">
      <c r="A140" s="3"/>
      <c r="B140" s="101" t="s">
        <v>576</v>
      </c>
      <c r="C140" s="109">
        <f t="shared" si="11"/>
        <v>4.2729799999999996</v>
      </c>
      <c r="D140" s="144">
        <v>4.2729799999999996</v>
      </c>
      <c r="E140" s="111"/>
      <c r="F140" s="109">
        <f t="shared" si="12"/>
        <v>4.2729799999999996</v>
      </c>
      <c r="G140" s="144">
        <v>4.2729799999999996</v>
      </c>
      <c r="H140" s="111"/>
      <c r="I140" s="109">
        <f t="shared" si="13"/>
        <v>3.4077500000000001</v>
      </c>
      <c r="J140" s="111">
        <v>3.4077500000000001</v>
      </c>
      <c r="K140" s="111"/>
      <c r="L140" s="13">
        <f t="shared" si="18"/>
        <v>79.751133869103072</v>
      </c>
      <c r="M140" s="13">
        <v>100</v>
      </c>
      <c r="N140" s="2" t="s">
        <v>633</v>
      </c>
      <c r="O140" s="101" t="s">
        <v>577</v>
      </c>
      <c r="P140" s="101" t="s">
        <v>500</v>
      </c>
    </row>
    <row r="141" spans="1:16" ht="36" customHeight="1" x14ac:dyDescent="0.25">
      <c r="A141" s="3"/>
      <c r="B141" s="144" t="s">
        <v>793</v>
      </c>
      <c r="C141" s="109">
        <f t="shared" si="11"/>
        <v>3.5494400000000002</v>
      </c>
      <c r="D141" s="111">
        <v>3.5494400000000002</v>
      </c>
      <c r="E141" s="111"/>
      <c r="F141" s="109">
        <f t="shared" si="12"/>
        <v>3.5494400000000002</v>
      </c>
      <c r="G141" s="111">
        <v>3.5494400000000002</v>
      </c>
      <c r="H141" s="111"/>
      <c r="I141" s="109">
        <f t="shared" si="13"/>
        <v>3.5494400000000002</v>
      </c>
      <c r="J141" s="111">
        <v>3.5494400000000002</v>
      </c>
      <c r="K141" s="111"/>
      <c r="L141" s="13">
        <f t="shared" si="18"/>
        <v>100</v>
      </c>
      <c r="M141" s="13">
        <v>100</v>
      </c>
      <c r="N141" s="2" t="s">
        <v>632</v>
      </c>
      <c r="O141" s="101">
        <v>110</v>
      </c>
      <c r="P141" s="101" t="s">
        <v>314</v>
      </c>
    </row>
    <row r="142" spans="1:16" ht="48" customHeight="1" x14ac:dyDescent="0.25">
      <c r="A142" s="3"/>
      <c r="B142" s="144" t="s">
        <v>794</v>
      </c>
      <c r="C142" s="109">
        <f t="shared" si="11"/>
        <v>30.12</v>
      </c>
      <c r="D142" s="111">
        <v>30.12</v>
      </c>
      <c r="E142" s="111"/>
      <c r="F142" s="109">
        <f t="shared" si="12"/>
        <v>40.119999999999997</v>
      </c>
      <c r="G142" s="111">
        <v>40.119999999999997</v>
      </c>
      <c r="H142" s="111"/>
      <c r="I142" s="109"/>
      <c r="J142" s="111"/>
      <c r="K142" s="111"/>
      <c r="L142" s="13">
        <f t="shared" si="18"/>
        <v>0</v>
      </c>
      <c r="M142" s="13">
        <v>100</v>
      </c>
      <c r="N142" s="2" t="s">
        <v>643</v>
      </c>
      <c r="O142" s="101">
        <v>109</v>
      </c>
      <c r="P142" s="101" t="s">
        <v>500</v>
      </c>
    </row>
    <row r="143" spans="1:16" ht="33.75" x14ac:dyDescent="0.25">
      <c r="A143" s="3"/>
      <c r="B143" s="144" t="s">
        <v>795</v>
      </c>
      <c r="C143" s="109">
        <f t="shared" si="11"/>
        <v>85.428889999999996</v>
      </c>
      <c r="D143" s="111">
        <f>120.55492-35.12603</f>
        <v>85.428889999999996</v>
      </c>
      <c r="E143" s="111"/>
      <c r="F143" s="109">
        <f t="shared" si="12"/>
        <v>120.55492</v>
      </c>
      <c r="G143" s="111">
        <v>120.55492</v>
      </c>
      <c r="H143" s="111"/>
      <c r="I143" s="109"/>
      <c r="J143" s="111"/>
      <c r="K143" s="111"/>
      <c r="L143" s="13">
        <f t="shared" si="18"/>
        <v>0</v>
      </c>
      <c r="M143" s="13">
        <v>50</v>
      </c>
      <c r="N143" s="2" t="s">
        <v>606</v>
      </c>
      <c r="O143" s="101">
        <v>113</v>
      </c>
      <c r="P143" s="144" t="s">
        <v>644</v>
      </c>
    </row>
    <row r="144" spans="1:16" x14ac:dyDescent="0.25">
      <c r="A144" s="23"/>
      <c r="B144" s="80" t="s">
        <v>27</v>
      </c>
      <c r="C144" s="109">
        <f t="shared" si="11"/>
        <v>150.57142000000002</v>
      </c>
      <c r="D144" s="111">
        <f>SUM(D129:D143)</f>
        <v>150.57121000000001</v>
      </c>
      <c r="E144" s="111">
        <f>SUM(E129:E141)</f>
        <v>2.1000000000000001E-4</v>
      </c>
      <c r="F144" s="109">
        <f t="shared" si="12"/>
        <v>32.022320000000001</v>
      </c>
      <c r="G144" s="111">
        <f>SUM(G129:G141)</f>
        <v>32.022320000000001</v>
      </c>
      <c r="H144" s="111">
        <f>SUM(H129:H141)</f>
        <v>0</v>
      </c>
      <c r="I144" s="109">
        <f t="shared" si="13"/>
        <v>32.557090000000002</v>
      </c>
      <c r="J144" s="111">
        <f>SUM(J129:J141)</f>
        <v>32.557090000000002</v>
      </c>
      <c r="K144" s="111">
        <f>SUM(K129:K141)</f>
        <v>0</v>
      </c>
      <c r="L144" s="13">
        <f t="shared" si="18"/>
        <v>21.622357018350495</v>
      </c>
      <c r="M144" s="13"/>
      <c r="N144" s="147"/>
      <c r="O144" s="23"/>
      <c r="P144" s="23"/>
    </row>
    <row r="145" spans="1:19" x14ac:dyDescent="0.25">
      <c r="A145" s="23"/>
      <c r="B145" s="80"/>
      <c r="C145" s="109"/>
      <c r="D145" s="111"/>
      <c r="E145" s="111"/>
      <c r="F145" s="109"/>
      <c r="G145" s="111"/>
      <c r="H145" s="111"/>
      <c r="I145" s="109"/>
      <c r="J145" s="111"/>
      <c r="K145" s="111"/>
      <c r="L145" s="13"/>
      <c r="M145" s="13"/>
      <c r="N145" s="36"/>
      <c r="O145" s="23"/>
      <c r="P145" s="23"/>
      <c r="Q145" s="154"/>
    </row>
    <row r="146" spans="1:19" ht="23.25" x14ac:dyDescent="0.25">
      <c r="A146" s="22" t="s">
        <v>232</v>
      </c>
      <c r="B146" s="78" t="s">
        <v>233</v>
      </c>
      <c r="C146" s="109"/>
      <c r="D146" s="113"/>
      <c r="E146" s="113"/>
      <c r="F146" s="109"/>
      <c r="G146" s="109"/>
      <c r="H146" s="134"/>
      <c r="I146" s="109"/>
      <c r="J146" s="109"/>
      <c r="K146" s="109"/>
      <c r="L146" s="13"/>
      <c r="M146" s="13"/>
      <c r="N146" s="10"/>
      <c r="O146" s="10"/>
      <c r="P146" s="11"/>
    </row>
    <row r="147" spans="1:19" ht="67.5" x14ac:dyDescent="0.25">
      <c r="A147" s="3"/>
      <c r="B147" s="50" t="s">
        <v>234</v>
      </c>
      <c r="C147" s="109">
        <f t="shared" si="11"/>
        <v>33.884720000000002</v>
      </c>
      <c r="D147" s="109">
        <v>33.884720000000002</v>
      </c>
      <c r="E147" s="111"/>
      <c r="F147" s="109">
        <f t="shared" si="12"/>
        <v>33.884720000000002</v>
      </c>
      <c r="G147" s="109">
        <v>33.884720000000002</v>
      </c>
      <c r="H147" s="111"/>
      <c r="I147" s="109">
        <f t="shared" si="13"/>
        <v>32.247660000000003</v>
      </c>
      <c r="J147" s="109">
        <v>32.247660000000003</v>
      </c>
      <c r="K147" s="111"/>
      <c r="L147" s="13">
        <f t="shared" ref="L147:L173" si="19">I147/C147*100</f>
        <v>95.16873682296918</v>
      </c>
      <c r="M147" s="13">
        <v>100</v>
      </c>
      <c r="N147" s="53" t="s">
        <v>235</v>
      </c>
      <c r="O147" s="5" t="s">
        <v>236</v>
      </c>
      <c r="P147" s="50" t="s">
        <v>237</v>
      </c>
    </row>
    <row r="148" spans="1:19" ht="67.5" x14ac:dyDescent="0.25">
      <c r="A148" s="3"/>
      <c r="B148" s="50" t="s">
        <v>238</v>
      </c>
      <c r="C148" s="109">
        <f t="shared" si="11"/>
        <v>7.7046799999999998</v>
      </c>
      <c r="D148" s="109">
        <v>7.7046799999999998</v>
      </c>
      <c r="E148" s="111"/>
      <c r="F148" s="109">
        <f t="shared" si="12"/>
        <v>7.7046799999999998</v>
      </c>
      <c r="G148" s="109">
        <f t="shared" si="13"/>
        <v>7.7046799999999998</v>
      </c>
      <c r="H148" s="111"/>
      <c r="I148" s="109">
        <f t="shared" si="13"/>
        <v>7.7046799999999998</v>
      </c>
      <c r="J148" s="109">
        <v>7.7046799999999998</v>
      </c>
      <c r="K148" s="111"/>
      <c r="L148" s="13">
        <f t="shared" si="19"/>
        <v>100</v>
      </c>
      <c r="M148" s="13">
        <v>100</v>
      </c>
      <c r="N148" s="53" t="s">
        <v>239</v>
      </c>
      <c r="O148" s="5" t="s">
        <v>240</v>
      </c>
      <c r="P148" s="50" t="s">
        <v>237</v>
      </c>
      <c r="R148" s="121"/>
    </row>
    <row r="149" spans="1:19" ht="45" x14ac:dyDescent="0.25">
      <c r="A149" s="3"/>
      <c r="B149" s="61" t="s">
        <v>759</v>
      </c>
      <c r="C149" s="109">
        <f t="shared" si="11"/>
        <v>32.112160000000003</v>
      </c>
      <c r="D149" s="109">
        <v>32.112160000000003</v>
      </c>
      <c r="E149" s="111"/>
      <c r="F149" s="109">
        <f t="shared" si="12"/>
        <v>46.730000000000004</v>
      </c>
      <c r="G149" s="109">
        <v>46.730000000000004</v>
      </c>
      <c r="H149" s="111"/>
      <c r="I149" s="109">
        <f t="shared" si="13"/>
        <v>32.112160000000003</v>
      </c>
      <c r="J149" s="109">
        <v>32.112160000000003</v>
      </c>
      <c r="K149" s="111"/>
      <c r="L149" s="13">
        <f t="shared" si="19"/>
        <v>100</v>
      </c>
      <c r="M149" s="13">
        <v>100</v>
      </c>
      <c r="N149" s="16" t="s">
        <v>241</v>
      </c>
      <c r="O149" s="9" t="s">
        <v>242</v>
      </c>
      <c r="P149" s="21" t="s">
        <v>243</v>
      </c>
    </row>
    <row r="150" spans="1:19" ht="90" x14ac:dyDescent="0.25">
      <c r="A150" s="3"/>
      <c r="B150" s="63" t="s">
        <v>246</v>
      </c>
      <c r="C150" s="109">
        <f t="shared" si="11"/>
        <v>4</v>
      </c>
      <c r="D150" s="109"/>
      <c r="E150" s="109">
        <v>4</v>
      </c>
      <c r="F150" s="109">
        <f t="shared" si="12"/>
        <v>4</v>
      </c>
      <c r="G150" s="109"/>
      <c r="H150" s="109">
        <v>4</v>
      </c>
      <c r="I150" s="109">
        <f t="shared" si="13"/>
        <v>2.5916000000000001</v>
      </c>
      <c r="J150" s="109"/>
      <c r="K150" s="109">
        <v>2.5916000000000001</v>
      </c>
      <c r="L150" s="13">
        <f t="shared" si="19"/>
        <v>64.790000000000006</v>
      </c>
      <c r="M150" s="13">
        <v>100</v>
      </c>
      <c r="N150" s="16" t="s">
        <v>247</v>
      </c>
      <c r="O150" s="9" t="s">
        <v>248</v>
      </c>
      <c r="P150" s="27" t="s">
        <v>249</v>
      </c>
      <c r="Q150" s="154"/>
      <c r="S150" s="121"/>
    </row>
    <row r="151" spans="1:19" ht="102" x14ac:dyDescent="0.25">
      <c r="A151" s="3"/>
      <c r="B151" s="52" t="s">
        <v>250</v>
      </c>
      <c r="C151" s="109">
        <f t="shared" si="11"/>
        <v>98.796970000000002</v>
      </c>
      <c r="D151" s="109"/>
      <c r="E151" s="114">
        <v>98.796970000000002</v>
      </c>
      <c r="F151" s="109">
        <f t="shared" si="12"/>
        <v>98.796970000000002</v>
      </c>
      <c r="G151" s="109"/>
      <c r="H151" s="114">
        <v>98.796970000000002</v>
      </c>
      <c r="I151" s="109">
        <f t="shared" si="13"/>
        <v>89.657409999999999</v>
      </c>
      <c r="J151" s="109"/>
      <c r="K151" s="111">
        <v>89.657409999999999</v>
      </c>
      <c r="L151" s="13">
        <f t="shared" si="19"/>
        <v>90.749149493147414</v>
      </c>
      <c r="M151" s="13">
        <v>100</v>
      </c>
      <c r="N151" s="16" t="s">
        <v>251</v>
      </c>
      <c r="O151" s="9" t="s">
        <v>252</v>
      </c>
      <c r="P151" s="27" t="s">
        <v>253</v>
      </c>
    </row>
    <row r="152" spans="1:19" ht="67.5" x14ac:dyDescent="0.25">
      <c r="A152" s="3"/>
      <c r="B152" s="50" t="s">
        <v>254</v>
      </c>
      <c r="C152" s="109">
        <f t="shared" si="11"/>
        <v>28.200320000000001</v>
      </c>
      <c r="D152" s="109"/>
      <c r="E152" s="109">
        <v>28.200320000000001</v>
      </c>
      <c r="F152" s="109">
        <f t="shared" si="12"/>
        <v>28.200320000000001</v>
      </c>
      <c r="G152" s="109"/>
      <c r="H152" s="109">
        <v>28.200320000000001</v>
      </c>
      <c r="I152" s="109">
        <f t="shared" si="13"/>
        <v>23.857559999999999</v>
      </c>
      <c r="J152" s="109"/>
      <c r="K152" s="111">
        <v>23.857559999999999</v>
      </c>
      <c r="L152" s="13">
        <f t="shared" si="19"/>
        <v>84.60031659215214</v>
      </c>
      <c r="M152" s="13">
        <v>100</v>
      </c>
      <c r="N152" s="53" t="s">
        <v>255</v>
      </c>
      <c r="O152" s="9" t="s">
        <v>256</v>
      </c>
      <c r="P152" s="50" t="s">
        <v>257</v>
      </c>
    </row>
    <row r="153" spans="1:19" ht="135" x14ac:dyDescent="0.25">
      <c r="A153" s="3"/>
      <c r="B153" s="52" t="s">
        <v>258</v>
      </c>
      <c r="C153" s="109">
        <f t="shared" si="11"/>
        <v>16.334420000000001</v>
      </c>
      <c r="D153" s="109"/>
      <c r="E153" s="114">
        <v>16.334420000000001</v>
      </c>
      <c r="F153" s="109">
        <f t="shared" si="12"/>
        <v>16.5809</v>
      </c>
      <c r="G153" s="114"/>
      <c r="H153" s="114">
        <v>16.5809</v>
      </c>
      <c r="I153" s="109">
        <f t="shared" si="13"/>
        <v>0</v>
      </c>
      <c r="J153" s="109"/>
      <c r="K153" s="111"/>
      <c r="L153" s="13">
        <f t="shared" si="19"/>
        <v>0</v>
      </c>
      <c r="M153" s="13">
        <v>100</v>
      </c>
      <c r="N153" s="53" t="s">
        <v>259</v>
      </c>
      <c r="O153" s="9" t="s">
        <v>260</v>
      </c>
      <c r="P153" s="60" t="s">
        <v>261</v>
      </c>
    </row>
    <row r="154" spans="1:19" ht="123.75" x14ac:dyDescent="0.25">
      <c r="A154" s="3"/>
      <c r="B154" s="63" t="s">
        <v>573</v>
      </c>
      <c r="C154" s="109">
        <f t="shared" si="11"/>
        <v>13.945790000000001</v>
      </c>
      <c r="D154" s="109"/>
      <c r="E154" s="111">
        <v>13.945790000000001</v>
      </c>
      <c r="F154" s="109">
        <f t="shared" si="12"/>
        <v>13.945790000000001</v>
      </c>
      <c r="G154" s="114">
        <v>13.945790000000001</v>
      </c>
      <c r="H154" s="111"/>
      <c r="I154" s="109">
        <f t="shared" si="13"/>
        <v>13.05447</v>
      </c>
      <c r="J154" s="109"/>
      <c r="K154" s="111">
        <v>13.05447</v>
      </c>
      <c r="L154" s="13">
        <f t="shared" si="19"/>
        <v>93.608680469159509</v>
      </c>
      <c r="M154" s="13">
        <v>100</v>
      </c>
      <c r="N154" s="53" t="s">
        <v>262</v>
      </c>
      <c r="O154" s="9" t="s">
        <v>263</v>
      </c>
      <c r="P154" s="60" t="s">
        <v>261</v>
      </c>
    </row>
    <row r="155" spans="1:19" ht="68.25" x14ac:dyDescent="0.25">
      <c r="A155" s="3"/>
      <c r="B155" s="59" t="s">
        <v>264</v>
      </c>
      <c r="C155" s="109">
        <f t="shared" ref="C155:C246" si="20">D155+E155</f>
        <v>3.9</v>
      </c>
      <c r="D155" s="114">
        <v>3.9</v>
      </c>
      <c r="E155" s="111"/>
      <c r="F155" s="109">
        <f t="shared" ref="F155:F246" si="21">G155+H155</f>
        <v>3.9</v>
      </c>
      <c r="G155" s="114">
        <v>3.9</v>
      </c>
      <c r="H155" s="111"/>
      <c r="I155" s="109">
        <f t="shared" ref="I155:I165" si="22">J155+K155</f>
        <v>0</v>
      </c>
      <c r="J155" s="109"/>
      <c r="K155" s="111"/>
      <c r="L155" s="13">
        <f t="shared" si="19"/>
        <v>0</v>
      </c>
      <c r="M155" s="13"/>
      <c r="N155" s="16" t="s">
        <v>265</v>
      </c>
      <c r="O155" s="83" t="s">
        <v>158</v>
      </c>
      <c r="P155" s="84" t="s">
        <v>266</v>
      </c>
    </row>
    <row r="156" spans="1:19" ht="45" x14ac:dyDescent="0.25">
      <c r="A156" s="3"/>
      <c r="B156" s="101" t="s">
        <v>520</v>
      </c>
      <c r="C156" s="109">
        <f t="shared" si="20"/>
        <v>30</v>
      </c>
      <c r="D156" s="114">
        <v>30</v>
      </c>
      <c r="E156" s="111"/>
      <c r="F156" s="109">
        <f t="shared" si="21"/>
        <v>57.910049999999998</v>
      </c>
      <c r="G156" s="114">
        <v>57.910049999999998</v>
      </c>
      <c r="H156" s="111"/>
      <c r="I156" s="109">
        <f t="shared" si="22"/>
        <v>24.07</v>
      </c>
      <c r="J156" s="109">
        <f>13.084+10.986</f>
        <v>24.07</v>
      </c>
      <c r="K156" s="111"/>
      <c r="L156" s="13">
        <f t="shared" si="19"/>
        <v>80.233333333333334</v>
      </c>
      <c r="M156" s="13">
        <v>100</v>
      </c>
      <c r="N156" s="16" t="s">
        <v>645</v>
      </c>
      <c r="O156" s="83" t="s">
        <v>521</v>
      </c>
      <c r="P156" s="84" t="s">
        <v>522</v>
      </c>
    </row>
    <row r="157" spans="1:19" ht="78.75" x14ac:dyDescent="0.25">
      <c r="A157" s="3"/>
      <c r="B157" s="101" t="s">
        <v>726</v>
      </c>
      <c r="C157" s="109">
        <f t="shared" si="20"/>
        <v>44.517429999999997</v>
      </c>
      <c r="D157" s="114">
        <v>44.517429999999997</v>
      </c>
      <c r="E157" s="111"/>
      <c r="F157" s="109">
        <f t="shared" si="21"/>
        <v>69.748699999999999</v>
      </c>
      <c r="G157" s="114">
        <v>69.748699999999999</v>
      </c>
      <c r="H157" s="111"/>
      <c r="I157" s="109">
        <f t="shared" si="22"/>
        <v>13.899999999999999</v>
      </c>
      <c r="J157" s="109">
        <f>4.17367+0.52028+9.20605</f>
        <v>13.899999999999999</v>
      </c>
      <c r="K157" s="111"/>
      <c r="L157" s="13">
        <f t="shared" si="19"/>
        <v>31.223725179104004</v>
      </c>
      <c r="M157" s="13">
        <v>100</v>
      </c>
      <c r="N157" s="16" t="s">
        <v>646</v>
      </c>
      <c r="O157" s="83" t="s">
        <v>553</v>
      </c>
      <c r="P157" s="84" t="s">
        <v>554</v>
      </c>
      <c r="Q157" s="153">
        <f>82.90148-43.55162</f>
        <v>39.349860000000007</v>
      </c>
      <c r="R157" t="s">
        <v>751</v>
      </c>
    </row>
    <row r="158" spans="1:19" ht="67.5" x14ac:dyDescent="0.25">
      <c r="A158" s="3"/>
      <c r="B158" s="101" t="s">
        <v>558</v>
      </c>
      <c r="C158" s="109">
        <f t="shared" si="20"/>
        <v>14.634</v>
      </c>
      <c r="D158" s="114"/>
      <c r="E158" s="111">
        <v>14.634</v>
      </c>
      <c r="F158" s="109">
        <f t="shared" si="21"/>
        <v>16.285509999999999</v>
      </c>
      <c r="G158" s="114">
        <v>16.285509999999999</v>
      </c>
      <c r="H158" s="111"/>
      <c r="I158" s="109">
        <f t="shared" si="22"/>
        <v>14.633000000000001</v>
      </c>
      <c r="J158" s="109"/>
      <c r="K158" s="111">
        <f>13.90135+0.73165</f>
        <v>14.633000000000001</v>
      </c>
      <c r="L158" s="13">
        <f t="shared" si="19"/>
        <v>99.99316659833265</v>
      </c>
      <c r="M158" s="13">
        <v>100</v>
      </c>
      <c r="N158" s="16" t="s">
        <v>647</v>
      </c>
      <c r="O158" s="83" t="s">
        <v>555</v>
      </c>
      <c r="P158" s="84" t="s">
        <v>556</v>
      </c>
    </row>
    <row r="159" spans="1:19" ht="101.25" x14ac:dyDescent="0.25">
      <c r="A159" s="3"/>
      <c r="B159" s="143" t="s">
        <v>731</v>
      </c>
      <c r="C159" s="109">
        <f t="shared" ref="C159" si="23">D159+E159</f>
        <v>6</v>
      </c>
      <c r="D159" s="114"/>
      <c r="E159" s="111">
        <v>6</v>
      </c>
      <c r="F159" s="109">
        <f t="shared" ref="F159" si="24">G159+H159</f>
        <v>6</v>
      </c>
      <c r="G159" s="114"/>
      <c r="H159" s="111">
        <v>6</v>
      </c>
      <c r="I159" s="109">
        <f t="shared" si="22"/>
        <v>4.2080799999999998</v>
      </c>
      <c r="J159" s="109"/>
      <c r="K159" s="111">
        <v>4.2080799999999998</v>
      </c>
      <c r="L159" s="13">
        <f t="shared" si="19"/>
        <v>70.134666666666661</v>
      </c>
      <c r="M159" s="13">
        <v>100</v>
      </c>
      <c r="N159" s="16" t="s">
        <v>648</v>
      </c>
      <c r="O159" s="83" t="s">
        <v>578</v>
      </c>
      <c r="P159" s="101" t="s">
        <v>579</v>
      </c>
    </row>
    <row r="160" spans="1:19" ht="78.75" x14ac:dyDescent="0.25">
      <c r="A160" s="3"/>
      <c r="B160" s="136" t="s">
        <v>732</v>
      </c>
      <c r="C160" s="109">
        <f t="shared" ref="C160:C162" si="25">D160+E160</f>
        <v>12.733370000000001</v>
      </c>
      <c r="D160" s="114"/>
      <c r="E160" s="111">
        <v>12.733370000000001</v>
      </c>
      <c r="F160" s="109">
        <f t="shared" ref="F160:F162" si="26">G160+H160</f>
        <v>12.733370000000001</v>
      </c>
      <c r="G160" s="114"/>
      <c r="H160" s="111">
        <v>12.733370000000001</v>
      </c>
      <c r="I160" s="109">
        <f t="shared" si="22"/>
        <v>11.35366</v>
      </c>
      <c r="J160" s="109"/>
      <c r="K160" s="111">
        <f>0.56768+10.78598</f>
        <v>11.35366</v>
      </c>
      <c r="L160" s="13">
        <f t="shared" si="19"/>
        <v>89.164612353210487</v>
      </c>
      <c r="M160" s="13">
        <v>100</v>
      </c>
      <c r="N160" s="16" t="s">
        <v>649</v>
      </c>
      <c r="O160" s="83" t="s">
        <v>582</v>
      </c>
      <c r="P160" s="101" t="s">
        <v>580</v>
      </c>
      <c r="Q160" s="154">
        <f>E160+E161+E162</f>
        <v>40.960450000000002</v>
      </c>
    </row>
    <row r="161" spans="1:18" ht="78.75" x14ac:dyDescent="0.25">
      <c r="A161" s="3"/>
      <c r="B161" s="136" t="s">
        <v>733</v>
      </c>
      <c r="C161" s="109">
        <f t="shared" si="25"/>
        <v>14.705970000000001</v>
      </c>
      <c r="D161" s="114"/>
      <c r="E161" s="111">
        <v>14.705970000000001</v>
      </c>
      <c r="F161" s="109">
        <f t="shared" si="26"/>
        <v>14.705970000000001</v>
      </c>
      <c r="G161" s="114"/>
      <c r="H161" s="111">
        <v>14.705970000000001</v>
      </c>
      <c r="I161" s="109">
        <f t="shared" si="22"/>
        <v>13.97616</v>
      </c>
      <c r="J161" s="109"/>
      <c r="K161" s="111">
        <f>0.69881+13.27735</f>
        <v>13.97616</v>
      </c>
      <c r="L161" s="13">
        <f t="shared" si="19"/>
        <v>95.037321577563389</v>
      </c>
      <c r="M161" s="13">
        <v>100</v>
      </c>
      <c r="N161" s="16" t="s">
        <v>581</v>
      </c>
      <c r="O161" s="83" t="s">
        <v>582</v>
      </c>
      <c r="P161" s="101" t="s">
        <v>580</v>
      </c>
    </row>
    <row r="162" spans="1:18" ht="67.5" x14ac:dyDescent="0.25">
      <c r="A162" s="3"/>
      <c r="B162" s="136" t="s">
        <v>734</v>
      </c>
      <c r="C162" s="109">
        <f t="shared" si="25"/>
        <v>13.52111</v>
      </c>
      <c r="D162" s="114"/>
      <c r="E162" s="111">
        <v>13.52111</v>
      </c>
      <c r="F162" s="109">
        <f t="shared" si="26"/>
        <v>13.52111</v>
      </c>
      <c r="G162" s="114"/>
      <c r="H162" s="111">
        <v>13.52111</v>
      </c>
      <c r="I162" s="109">
        <f t="shared" si="22"/>
        <v>11.460040000000001</v>
      </c>
      <c r="J162" s="109"/>
      <c r="K162" s="111">
        <f>0.573+10.88704</f>
        <v>11.460040000000001</v>
      </c>
      <c r="L162" s="13">
        <f t="shared" si="19"/>
        <v>84.756650896265185</v>
      </c>
      <c r="M162" s="13">
        <v>100</v>
      </c>
      <c r="N162" s="16" t="s">
        <v>581</v>
      </c>
      <c r="O162" s="83" t="s">
        <v>582</v>
      </c>
      <c r="P162" s="101" t="s">
        <v>580</v>
      </c>
    </row>
    <row r="163" spans="1:18" ht="78.75" x14ac:dyDescent="0.25">
      <c r="A163" s="3"/>
      <c r="B163" s="101" t="s">
        <v>735</v>
      </c>
      <c r="C163" s="109">
        <f t="shared" ref="C163:C177" si="27">D163+E163</f>
        <v>24.833690000000001</v>
      </c>
      <c r="D163" s="114"/>
      <c r="E163" s="114">
        <v>24.833690000000001</v>
      </c>
      <c r="F163" s="109">
        <f t="shared" ref="F163:F175" si="28">G163+H163</f>
        <v>24.833690000000001</v>
      </c>
      <c r="G163" s="114"/>
      <c r="H163" s="114">
        <v>24.833690000000001</v>
      </c>
      <c r="I163" s="109">
        <f t="shared" si="22"/>
        <v>24.80894</v>
      </c>
      <c r="J163" s="109"/>
      <c r="K163" s="111">
        <v>24.80894</v>
      </c>
      <c r="L163" s="13">
        <f t="shared" si="19"/>
        <v>99.900337001871236</v>
      </c>
      <c r="M163" s="13">
        <v>100</v>
      </c>
      <c r="N163" s="16" t="s">
        <v>650</v>
      </c>
      <c r="O163" s="83" t="s">
        <v>583</v>
      </c>
      <c r="P163" s="101" t="s">
        <v>584</v>
      </c>
    </row>
    <row r="164" spans="1:18" ht="67.5" x14ac:dyDescent="0.25">
      <c r="A164" s="3"/>
      <c r="B164" s="101" t="s">
        <v>585</v>
      </c>
      <c r="C164" s="109">
        <f t="shared" si="27"/>
        <v>0</v>
      </c>
      <c r="D164" s="114"/>
      <c r="E164" s="111"/>
      <c r="F164" s="109">
        <f t="shared" si="28"/>
        <v>0</v>
      </c>
      <c r="G164" s="114"/>
      <c r="H164" s="111"/>
      <c r="I164" s="109">
        <f t="shared" si="22"/>
        <v>2.0480000000000002E-2</v>
      </c>
      <c r="J164" s="109">
        <v>2.0480000000000002E-2</v>
      </c>
      <c r="K164" s="111"/>
      <c r="L164" s="13" t="e">
        <f t="shared" si="19"/>
        <v>#DIV/0!</v>
      </c>
      <c r="M164" s="13"/>
      <c r="N164" s="16" t="s">
        <v>560</v>
      </c>
      <c r="O164" s="83" t="s">
        <v>588</v>
      </c>
      <c r="P164" s="101" t="s">
        <v>586</v>
      </c>
    </row>
    <row r="165" spans="1:18" ht="78.75" x14ac:dyDescent="0.25">
      <c r="A165" s="3"/>
      <c r="B165" s="101" t="s">
        <v>727</v>
      </c>
      <c r="C165" s="109">
        <f t="shared" si="27"/>
        <v>10.24122</v>
      </c>
      <c r="D165" s="114">
        <v>10.24122</v>
      </c>
      <c r="E165" s="111"/>
      <c r="F165" s="109">
        <f t="shared" si="28"/>
        <v>10.24122</v>
      </c>
      <c r="G165" s="114">
        <v>10.24122</v>
      </c>
      <c r="H165" s="111"/>
      <c r="I165" s="109">
        <f t="shared" si="22"/>
        <v>10.220739999999999</v>
      </c>
      <c r="J165" s="109">
        <v>10.220739999999999</v>
      </c>
      <c r="K165" s="111"/>
      <c r="L165" s="13">
        <f t="shared" si="19"/>
        <v>99.800023825286431</v>
      </c>
      <c r="M165" s="13">
        <v>100</v>
      </c>
      <c r="N165" s="16" t="s">
        <v>651</v>
      </c>
      <c r="O165" s="83" t="s">
        <v>588</v>
      </c>
      <c r="P165" s="101" t="s">
        <v>587</v>
      </c>
    </row>
    <row r="166" spans="1:18" ht="56.25" x14ac:dyDescent="0.25">
      <c r="A166" s="3"/>
      <c r="B166" s="144" t="s">
        <v>796</v>
      </c>
      <c r="C166" s="109">
        <f t="shared" si="27"/>
        <v>30</v>
      </c>
      <c r="D166" s="114">
        <v>30</v>
      </c>
      <c r="E166" s="111"/>
      <c r="F166" s="109">
        <f t="shared" si="28"/>
        <v>58.35848</v>
      </c>
      <c r="G166" s="114">
        <v>58.35848</v>
      </c>
      <c r="H166" s="111"/>
      <c r="I166" s="109"/>
      <c r="J166" s="109"/>
      <c r="K166" s="111"/>
      <c r="L166" s="13">
        <f t="shared" si="19"/>
        <v>0</v>
      </c>
      <c r="M166" s="13">
        <v>100</v>
      </c>
      <c r="N166" s="16" t="s">
        <v>653</v>
      </c>
      <c r="O166" s="83" t="s">
        <v>652</v>
      </c>
      <c r="P166" s="144" t="s">
        <v>378</v>
      </c>
    </row>
    <row r="167" spans="1:18" ht="67.5" x14ac:dyDescent="0.25">
      <c r="A167" s="3"/>
      <c r="B167" s="144" t="s">
        <v>797</v>
      </c>
      <c r="C167" s="109">
        <f t="shared" si="27"/>
        <v>14.11922</v>
      </c>
      <c r="D167" s="114">
        <v>14.11922</v>
      </c>
      <c r="E167" s="111"/>
      <c r="F167" s="109">
        <f t="shared" si="28"/>
        <v>14.11922</v>
      </c>
      <c r="G167" s="114">
        <v>14.11922</v>
      </c>
      <c r="H167" s="111"/>
      <c r="I167" s="109"/>
      <c r="J167" s="109"/>
      <c r="K167" s="111"/>
      <c r="L167" s="13">
        <f t="shared" si="19"/>
        <v>0</v>
      </c>
      <c r="M167" s="13">
        <v>100</v>
      </c>
      <c r="N167" s="16" t="s">
        <v>655</v>
      </c>
      <c r="O167" s="83" t="s">
        <v>654</v>
      </c>
      <c r="P167" s="144" t="s">
        <v>378</v>
      </c>
    </row>
    <row r="168" spans="1:18" ht="56.25" x14ac:dyDescent="0.25">
      <c r="A168" s="3"/>
      <c r="B168" s="144" t="s">
        <v>798</v>
      </c>
      <c r="C168" s="109">
        <f t="shared" si="27"/>
        <v>30</v>
      </c>
      <c r="D168" s="114">
        <v>30</v>
      </c>
      <c r="E168" s="111"/>
      <c r="F168" s="109">
        <f t="shared" si="28"/>
        <v>53.33343</v>
      </c>
      <c r="G168" s="114">
        <v>53.33343</v>
      </c>
      <c r="H168" s="111"/>
      <c r="I168" s="109"/>
      <c r="J168" s="109"/>
      <c r="K168" s="111"/>
      <c r="L168" s="13">
        <f t="shared" si="19"/>
        <v>0</v>
      </c>
      <c r="M168" s="13">
        <v>100</v>
      </c>
      <c r="N168" s="16" t="s">
        <v>657</v>
      </c>
      <c r="O168" s="83" t="s">
        <v>656</v>
      </c>
      <c r="P168" s="144" t="s">
        <v>522</v>
      </c>
    </row>
    <row r="169" spans="1:18" ht="135" x14ac:dyDescent="0.25">
      <c r="A169" s="3"/>
      <c r="B169" s="144" t="s">
        <v>799</v>
      </c>
      <c r="C169" s="109">
        <f t="shared" si="27"/>
        <v>23</v>
      </c>
      <c r="D169" s="114">
        <v>23</v>
      </c>
      <c r="E169" s="111"/>
      <c r="F169" s="109">
        <f t="shared" si="28"/>
        <v>45.291789999999999</v>
      </c>
      <c r="G169" s="114">
        <v>45.291789999999999</v>
      </c>
      <c r="H169" s="111"/>
      <c r="I169" s="109"/>
      <c r="J169" s="109"/>
      <c r="K169" s="111"/>
      <c r="L169" s="13">
        <f t="shared" si="19"/>
        <v>0</v>
      </c>
      <c r="M169" s="13">
        <v>100</v>
      </c>
      <c r="N169" s="16" t="s">
        <v>660</v>
      </c>
      <c r="O169" s="83" t="s">
        <v>658</v>
      </c>
      <c r="P169" s="144" t="s">
        <v>659</v>
      </c>
    </row>
    <row r="170" spans="1:18" ht="123.75" x14ac:dyDescent="0.25">
      <c r="A170" s="3"/>
      <c r="B170" s="143" t="s">
        <v>728</v>
      </c>
      <c r="C170" s="109">
        <f t="shared" si="27"/>
        <v>39</v>
      </c>
      <c r="D170" s="114"/>
      <c r="E170" s="111">
        <v>39</v>
      </c>
      <c r="F170" s="109">
        <f t="shared" si="28"/>
        <v>83.00412</v>
      </c>
      <c r="G170" s="114"/>
      <c r="H170" s="114">
        <v>83.00412</v>
      </c>
      <c r="I170" s="109"/>
      <c r="J170" s="109"/>
      <c r="K170" s="111"/>
      <c r="L170" s="13">
        <f t="shared" si="19"/>
        <v>0</v>
      </c>
      <c r="M170" s="13">
        <v>100</v>
      </c>
      <c r="N170" s="16" t="s">
        <v>662</v>
      </c>
      <c r="O170" s="83" t="s">
        <v>661</v>
      </c>
      <c r="P170" s="143" t="s">
        <v>352</v>
      </c>
    </row>
    <row r="171" spans="1:18" ht="101.25" x14ac:dyDescent="0.25">
      <c r="A171" s="3"/>
      <c r="B171" s="143" t="s">
        <v>752</v>
      </c>
      <c r="C171" s="109">
        <f t="shared" si="27"/>
        <v>12</v>
      </c>
      <c r="D171" s="114"/>
      <c r="E171" s="111">
        <v>12</v>
      </c>
      <c r="F171" s="109">
        <f t="shared" si="28"/>
        <v>12</v>
      </c>
      <c r="G171" s="114"/>
      <c r="H171" s="111">
        <v>12</v>
      </c>
      <c r="I171" s="109"/>
      <c r="J171" s="109"/>
      <c r="K171" s="111"/>
      <c r="L171" s="13">
        <f t="shared" si="19"/>
        <v>0</v>
      </c>
      <c r="M171" s="13"/>
      <c r="N171" s="16" t="s">
        <v>664</v>
      </c>
      <c r="O171" s="83" t="s">
        <v>663</v>
      </c>
      <c r="P171" s="143" t="s">
        <v>665</v>
      </c>
    </row>
    <row r="172" spans="1:18" ht="90" x14ac:dyDescent="0.25">
      <c r="A172" s="3"/>
      <c r="B172" s="143" t="s">
        <v>800</v>
      </c>
      <c r="C172" s="109">
        <f t="shared" si="27"/>
        <v>20</v>
      </c>
      <c r="D172" s="114"/>
      <c r="E172" s="111">
        <v>20</v>
      </c>
      <c r="F172" s="109">
        <f t="shared" si="28"/>
        <v>50.520780000000002</v>
      </c>
      <c r="G172" s="114"/>
      <c r="H172" s="114">
        <v>50.520780000000002</v>
      </c>
      <c r="I172" s="109"/>
      <c r="J172" s="109"/>
      <c r="K172" s="111"/>
      <c r="L172" s="13">
        <f t="shared" si="19"/>
        <v>0</v>
      </c>
      <c r="M172" s="13"/>
      <c r="N172" s="16" t="s">
        <v>667</v>
      </c>
      <c r="O172" s="83" t="s">
        <v>666</v>
      </c>
      <c r="P172" s="143" t="s">
        <v>739</v>
      </c>
    </row>
    <row r="173" spans="1:18" ht="146.25" x14ac:dyDescent="0.25">
      <c r="A173" s="3"/>
      <c r="B173" s="143" t="s">
        <v>801</v>
      </c>
      <c r="C173" s="109">
        <f t="shared" si="27"/>
        <v>39</v>
      </c>
      <c r="D173" s="114"/>
      <c r="E173" s="111">
        <v>39</v>
      </c>
      <c r="F173" s="109">
        <f t="shared" si="28"/>
        <v>95.230239999999995</v>
      </c>
      <c r="G173" s="114"/>
      <c r="H173" s="114">
        <v>95.230239999999995</v>
      </c>
      <c r="I173" s="109"/>
      <c r="J173" s="109"/>
      <c r="K173" s="111"/>
      <c r="L173" s="13">
        <f t="shared" si="19"/>
        <v>0</v>
      </c>
      <c r="M173" s="13">
        <v>100</v>
      </c>
      <c r="N173" s="16" t="s">
        <v>662</v>
      </c>
      <c r="O173" s="83" t="s">
        <v>668</v>
      </c>
      <c r="P173" s="143" t="s">
        <v>738</v>
      </c>
    </row>
    <row r="174" spans="1:18" ht="90" x14ac:dyDescent="0.25">
      <c r="A174" s="3"/>
      <c r="B174" s="143" t="s">
        <v>802</v>
      </c>
      <c r="C174" s="109">
        <f t="shared" si="27"/>
        <v>30</v>
      </c>
      <c r="D174" s="114"/>
      <c r="E174" s="111">
        <v>30</v>
      </c>
      <c r="F174" s="109">
        <f t="shared" si="28"/>
        <v>65.748689999999996</v>
      </c>
      <c r="G174" s="114"/>
      <c r="H174" s="114">
        <v>65.748689999999996</v>
      </c>
      <c r="I174" s="109"/>
      <c r="J174" s="109"/>
      <c r="K174" s="111"/>
      <c r="L174" s="13"/>
      <c r="M174" s="13">
        <v>100</v>
      </c>
      <c r="N174" s="16" t="s">
        <v>662</v>
      </c>
      <c r="O174" s="83" t="s">
        <v>729</v>
      </c>
      <c r="P174" s="143" t="s">
        <v>737</v>
      </c>
    </row>
    <row r="175" spans="1:18" ht="135" x14ac:dyDescent="0.25">
      <c r="A175" s="3"/>
      <c r="B175" s="143" t="s">
        <v>753</v>
      </c>
      <c r="C175" s="109">
        <f t="shared" si="27"/>
        <v>34</v>
      </c>
      <c r="D175" s="114"/>
      <c r="E175" s="111">
        <v>34</v>
      </c>
      <c r="F175" s="109">
        <f t="shared" si="28"/>
        <v>78.712999999999994</v>
      </c>
      <c r="G175" s="114"/>
      <c r="H175" s="114">
        <v>78.712999999999994</v>
      </c>
      <c r="I175" s="109"/>
      <c r="J175" s="109"/>
      <c r="K175" s="111"/>
      <c r="L175" s="13"/>
      <c r="M175" s="13">
        <v>100</v>
      </c>
      <c r="N175" s="16" t="s">
        <v>662</v>
      </c>
      <c r="O175" s="83" t="s">
        <v>730</v>
      </c>
      <c r="P175" s="143" t="s">
        <v>736</v>
      </c>
      <c r="R175">
        <f>+R1531</f>
        <v>0</v>
      </c>
    </row>
    <row r="176" spans="1:18" x14ac:dyDescent="0.25">
      <c r="A176" s="3"/>
      <c r="B176" s="143" t="s">
        <v>754</v>
      </c>
      <c r="C176" s="109">
        <f t="shared" si="27"/>
        <v>76.445210000000003</v>
      </c>
      <c r="D176" s="114"/>
      <c r="E176" s="111">
        <v>76.445210000000003</v>
      </c>
      <c r="F176" s="109"/>
      <c r="G176" s="114"/>
      <c r="H176" s="114"/>
      <c r="I176" s="109"/>
      <c r="J176" s="109"/>
      <c r="K176" s="111"/>
      <c r="L176" s="13"/>
      <c r="M176" s="13"/>
      <c r="N176" s="16"/>
      <c r="O176" s="83"/>
      <c r="P176" s="143"/>
    </row>
    <row r="177" spans="1:19" ht="56.25" x14ac:dyDescent="0.25">
      <c r="A177" s="3"/>
      <c r="B177" s="59" t="s">
        <v>267</v>
      </c>
      <c r="C177" s="109">
        <f t="shared" si="27"/>
        <v>39.34986</v>
      </c>
      <c r="D177" s="114">
        <v>39.34986</v>
      </c>
      <c r="E177" s="111"/>
      <c r="F177" s="109">
        <f t="shared" ref="F177" si="29">G177+H177</f>
        <v>82.901480000000006</v>
      </c>
      <c r="G177" s="114">
        <v>82.901480000000006</v>
      </c>
      <c r="H177" s="111"/>
      <c r="I177" s="109">
        <f t="shared" ref="I177" si="30">J177+K177</f>
        <v>0</v>
      </c>
      <c r="J177" s="109"/>
      <c r="K177" s="111"/>
      <c r="L177" s="13">
        <f t="shared" ref="L177" si="31">I177/C177*100</f>
        <v>0</v>
      </c>
      <c r="M177" s="13"/>
      <c r="N177" s="16"/>
      <c r="O177" s="83"/>
      <c r="P177" s="160"/>
    </row>
    <row r="178" spans="1:19" ht="51.75" customHeight="1" x14ac:dyDescent="0.25">
      <c r="A178" s="3"/>
      <c r="B178" s="143" t="s">
        <v>757</v>
      </c>
      <c r="C178" s="109"/>
      <c r="D178" s="114">
        <v>50.35774</v>
      </c>
      <c r="E178" s="111"/>
      <c r="F178" s="109"/>
      <c r="G178" s="114"/>
      <c r="H178" s="114"/>
      <c r="I178" s="109"/>
      <c r="J178" s="109"/>
      <c r="K178" s="111"/>
      <c r="L178" s="13"/>
      <c r="M178" s="13"/>
      <c r="N178" s="16"/>
      <c r="O178" s="83"/>
      <c r="P178" s="143"/>
    </row>
    <row r="179" spans="1:19" ht="55.5" customHeight="1" x14ac:dyDescent="0.25">
      <c r="A179" s="3"/>
      <c r="B179" s="143" t="s">
        <v>758</v>
      </c>
      <c r="C179" s="109"/>
      <c r="D179" s="114">
        <v>17.997779999999999</v>
      </c>
      <c r="E179" s="111"/>
      <c r="F179" s="109"/>
      <c r="G179" s="114"/>
      <c r="H179" s="114"/>
      <c r="I179" s="109"/>
      <c r="J179" s="109"/>
      <c r="K179" s="111"/>
      <c r="L179" s="13"/>
      <c r="M179" s="13"/>
      <c r="N179" s="16"/>
      <c r="O179" s="83"/>
      <c r="P179" s="143"/>
    </row>
    <row r="180" spans="1:19" ht="16.5" customHeight="1" x14ac:dyDescent="0.25">
      <c r="A180" s="3"/>
      <c r="B180" s="47" t="s">
        <v>244</v>
      </c>
      <c r="C180" s="109">
        <f t="shared" ref="C180:C181" si="32">D180+E180</f>
        <v>2.7999999999999998E-4</v>
      </c>
      <c r="D180" s="109"/>
      <c r="E180" s="111">
        <v>2.7999999999999998E-4</v>
      </c>
      <c r="F180" s="109">
        <f t="shared" ref="F180:F181" si="33">G180+H180</f>
        <v>0</v>
      </c>
      <c r="G180" s="109"/>
      <c r="H180" s="111"/>
      <c r="I180" s="109">
        <f t="shared" ref="I180:I181" si="34">J180+K180</f>
        <v>0</v>
      </c>
      <c r="J180" s="109"/>
      <c r="K180" s="111"/>
      <c r="L180" s="13">
        <f t="shared" ref="L180:L181" si="35">I180/C180*100</f>
        <v>0</v>
      </c>
      <c r="M180" s="13"/>
      <c r="N180" s="16"/>
      <c r="O180" s="9"/>
      <c r="P180" s="33"/>
    </row>
    <row r="181" spans="1:19" ht="23.25" customHeight="1" x14ac:dyDescent="0.25">
      <c r="A181" s="3"/>
      <c r="B181" s="50" t="s">
        <v>245</v>
      </c>
      <c r="C181" s="109">
        <f t="shared" si="32"/>
        <v>0.30318000000000001</v>
      </c>
      <c r="D181" s="109">
        <v>0.30318000000000001</v>
      </c>
      <c r="E181" s="111"/>
      <c r="F181" s="109">
        <f t="shared" si="33"/>
        <v>0</v>
      </c>
      <c r="G181" s="109"/>
      <c r="H181" s="111"/>
      <c r="I181" s="109">
        <f t="shared" si="34"/>
        <v>0</v>
      </c>
      <c r="J181" s="109"/>
      <c r="K181" s="111"/>
      <c r="L181" s="13">
        <f t="shared" si="35"/>
        <v>0</v>
      </c>
      <c r="M181" s="13"/>
      <c r="N181" s="16"/>
      <c r="O181" s="9"/>
      <c r="P181" s="9"/>
    </row>
    <row r="182" spans="1:19" ht="35.25" customHeight="1" x14ac:dyDescent="0.25">
      <c r="A182" s="3"/>
      <c r="B182" s="143"/>
      <c r="C182" s="109"/>
      <c r="D182" s="114">
        <v>178.87305000000001</v>
      </c>
      <c r="E182" s="111"/>
      <c r="F182" s="109"/>
      <c r="G182" s="114"/>
      <c r="H182" s="114"/>
      <c r="I182" s="109"/>
      <c r="J182" s="109"/>
      <c r="K182" s="111"/>
      <c r="L182" s="13"/>
      <c r="M182" s="13"/>
      <c r="N182" s="16"/>
      <c r="O182" s="83"/>
      <c r="P182" s="143"/>
    </row>
    <row r="183" spans="1:19" x14ac:dyDescent="0.25">
      <c r="A183" s="22"/>
      <c r="B183" s="166" t="s">
        <v>27</v>
      </c>
      <c r="C183" s="109">
        <f t="shared" si="20"/>
        <v>1044.5118899999998</v>
      </c>
      <c r="D183" s="111">
        <f>SUM(D147:D182)</f>
        <v>546.36103999999989</v>
      </c>
      <c r="E183" s="111">
        <f>SUM(E147:E176)</f>
        <v>498.15084999999999</v>
      </c>
      <c r="F183" s="111">
        <f t="shared" ref="F183:K183" si="36">SUM(F147:F175)</f>
        <v>1036.0427500000001</v>
      </c>
      <c r="G183" s="111">
        <f t="shared" si="36"/>
        <v>431.45358999999996</v>
      </c>
      <c r="H183" s="111">
        <f t="shared" si="36"/>
        <v>604.58915999999988</v>
      </c>
      <c r="I183" s="111">
        <f t="shared" si="36"/>
        <v>329.87664000000001</v>
      </c>
      <c r="J183" s="111">
        <f t="shared" si="36"/>
        <v>120.27572000000001</v>
      </c>
      <c r="K183" s="111">
        <f t="shared" si="36"/>
        <v>209.60092</v>
      </c>
      <c r="L183" s="13">
        <f>I183/C183*100</f>
        <v>31.581894199404477</v>
      </c>
      <c r="M183" s="13"/>
      <c r="N183" s="12"/>
      <c r="O183" s="135"/>
      <c r="P183" s="8"/>
    </row>
    <row r="184" spans="1:19" x14ac:dyDescent="0.25">
      <c r="A184" s="22"/>
      <c r="B184" s="166"/>
      <c r="C184" s="109"/>
      <c r="D184" s="111"/>
      <c r="E184" s="111"/>
      <c r="F184" s="109"/>
      <c r="G184" s="111"/>
      <c r="H184" s="111"/>
      <c r="I184" s="109"/>
      <c r="J184" s="111"/>
      <c r="K184" s="111"/>
      <c r="L184" s="13"/>
      <c r="M184" s="13"/>
      <c r="N184" s="12"/>
      <c r="O184" s="135"/>
      <c r="P184" s="8"/>
      <c r="R184" s="121"/>
      <c r="S184" s="121"/>
    </row>
    <row r="185" spans="1:19" x14ac:dyDescent="0.25">
      <c r="A185" s="22" t="s">
        <v>268</v>
      </c>
      <c r="B185" s="167" t="s">
        <v>269</v>
      </c>
      <c r="C185" s="109"/>
      <c r="D185" s="112"/>
      <c r="E185" s="112"/>
      <c r="F185" s="109"/>
      <c r="G185" s="112"/>
      <c r="H185" s="112"/>
      <c r="I185" s="109"/>
      <c r="J185" s="111"/>
      <c r="K185" s="111"/>
      <c r="L185" s="13"/>
      <c r="M185" s="13"/>
      <c r="N185" s="36"/>
      <c r="O185" s="23"/>
      <c r="P185" s="23"/>
    </row>
    <row r="186" spans="1:19" ht="45" x14ac:dyDescent="0.25">
      <c r="A186" s="22" t="s">
        <v>270</v>
      </c>
      <c r="B186" s="167" t="s">
        <v>271</v>
      </c>
      <c r="C186" s="109"/>
      <c r="D186" s="113"/>
      <c r="E186" s="113"/>
      <c r="F186" s="109"/>
      <c r="G186" s="109"/>
      <c r="H186" s="134"/>
      <c r="I186" s="109"/>
      <c r="J186" s="109"/>
      <c r="K186" s="109"/>
      <c r="L186" s="13"/>
      <c r="M186" s="13"/>
      <c r="N186" s="10"/>
      <c r="O186" s="10"/>
      <c r="P186" s="11"/>
    </row>
    <row r="187" spans="1:19" ht="33.75" x14ac:dyDescent="0.25">
      <c r="A187" s="3" t="s">
        <v>98</v>
      </c>
      <c r="B187" s="46" t="s">
        <v>272</v>
      </c>
      <c r="C187" s="109">
        <f t="shared" si="20"/>
        <v>0.46</v>
      </c>
      <c r="D187" s="109">
        <v>0.46</v>
      </c>
      <c r="E187" s="109"/>
      <c r="F187" s="109">
        <f t="shared" si="21"/>
        <v>0.46</v>
      </c>
      <c r="G187" s="113">
        <v>0.46</v>
      </c>
      <c r="H187" s="109"/>
      <c r="I187" s="109">
        <f t="shared" ref="I187:I246" si="37">J187+K187</f>
        <v>0.46</v>
      </c>
      <c r="J187" s="113">
        <v>0.46</v>
      </c>
      <c r="K187" s="111"/>
      <c r="L187" s="13">
        <f t="shared" ref="L187:L193" si="38">I187/C187*100</f>
        <v>100</v>
      </c>
      <c r="M187" s="13"/>
      <c r="N187" s="148" t="s">
        <v>273</v>
      </c>
      <c r="O187" s="54" t="s">
        <v>274</v>
      </c>
      <c r="P187" s="47" t="s">
        <v>275</v>
      </c>
      <c r="Q187" s="154">
        <f>I183-329.87664</f>
        <v>0</v>
      </c>
    </row>
    <row r="188" spans="1:19" ht="78.75" x14ac:dyDescent="0.25">
      <c r="A188" s="23" t="s">
        <v>98</v>
      </c>
      <c r="B188" s="82" t="s">
        <v>276</v>
      </c>
      <c r="C188" s="109">
        <f t="shared" si="20"/>
        <v>0.8</v>
      </c>
      <c r="D188" s="112">
        <v>0.8</v>
      </c>
      <c r="E188" s="112"/>
      <c r="F188" s="109">
        <f t="shared" si="21"/>
        <v>0.8</v>
      </c>
      <c r="G188" s="111">
        <v>0.8</v>
      </c>
      <c r="H188" s="128"/>
      <c r="I188" s="109">
        <f t="shared" si="37"/>
        <v>0</v>
      </c>
      <c r="J188" s="114"/>
      <c r="K188" s="111"/>
      <c r="L188" s="13">
        <f t="shared" si="38"/>
        <v>0</v>
      </c>
      <c r="M188" s="13"/>
      <c r="N188" s="16" t="s">
        <v>277</v>
      </c>
      <c r="O188" s="83" t="s">
        <v>278</v>
      </c>
      <c r="P188" s="27" t="s">
        <v>279</v>
      </c>
    </row>
    <row r="189" spans="1:19" ht="63.75" x14ac:dyDescent="0.25">
      <c r="A189" s="23" t="s">
        <v>98</v>
      </c>
      <c r="B189" s="68" t="s">
        <v>280</v>
      </c>
      <c r="C189" s="109">
        <f t="shared" si="20"/>
        <v>5.2</v>
      </c>
      <c r="D189" s="111">
        <v>5.2</v>
      </c>
      <c r="E189" s="111"/>
      <c r="F189" s="109">
        <f t="shared" si="21"/>
        <v>7</v>
      </c>
      <c r="G189" s="111">
        <v>7</v>
      </c>
      <c r="H189" s="128"/>
      <c r="I189" s="109">
        <f t="shared" si="37"/>
        <v>2.8</v>
      </c>
      <c r="J189" s="114">
        <f>1.2+1.6</f>
        <v>2.8</v>
      </c>
      <c r="K189" s="111"/>
      <c r="L189" s="13">
        <f t="shared" si="38"/>
        <v>53.846153846153847</v>
      </c>
      <c r="M189" s="13"/>
      <c r="N189" s="16" t="s">
        <v>281</v>
      </c>
      <c r="O189" s="83" t="s">
        <v>282</v>
      </c>
      <c r="P189" s="27" t="s">
        <v>279</v>
      </c>
    </row>
    <row r="190" spans="1:19" ht="90" x14ac:dyDescent="0.25">
      <c r="A190" s="23"/>
      <c r="B190" s="63" t="s">
        <v>283</v>
      </c>
      <c r="C190" s="109">
        <f t="shared" si="20"/>
        <v>1.9510000000000001</v>
      </c>
      <c r="D190" s="111">
        <v>1.9510000000000001</v>
      </c>
      <c r="E190" s="111"/>
      <c r="F190" s="109">
        <f t="shared" si="21"/>
        <v>1.9510000000000001</v>
      </c>
      <c r="G190" s="111">
        <v>1.9510000000000001</v>
      </c>
      <c r="H190" s="128"/>
      <c r="I190" s="109">
        <f t="shared" si="37"/>
        <v>1.9510000000000001</v>
      </c>
      <c r="J190" s="114">
        <v>1.9510000000000001</v>
      </c>
      <c r="K190" s="111"/>
      <c r="L190" s="13">
        <f t="shared" si="38"/>
        <v>100</v>
      </c>
      <c r="M190" s="13"/>
      <c r="N190" s="16" t="s">
        <v>284</v>
      </c>
      <c r="O190" s="83" t="s">
        <v>285</v>
      </c>
      <c r="P190" s="60" t="s">
        <v>286</v>
      </c>
    </row>
    <row r="191" spans="1:19" x14ac:dyDescent="0.25">
      <c r="A191" s="23"/>
      <c r="B191" s="63" t="s">
        <v>183</v>
      </c>
      <c r="C191" s="109">
        <f t="shared" si="20"/>
        <v>33.5779</v>
      </c>
      <c r="D191" s="111"/>
      <c r="E191" s="111">
        <v>33.5779</v>
      </c>
      <c r="F191" s="109">
        <f t="shared" si="21"/>
        <v>0</v>
      </c>
      <c r="G191" s="111"/>
      <c r="H191" s="128"/>
      <c r="I191" s="109">
        <f t="shared" si="37"/>
        <v>0</v>
      </c>
      <c r="J191" s="114"/>
      <c r="K191" s="111"/>
      <c r="L191" s="13">
        <f t="shared" si="38"/>
        <v>0</v>
      </c>
      <c r="M191" s="13"/>
      <c r="N191" s="16"/>
      <c r="O191" s="83"/>
      <c r="P191" s="60"/>
    </row>
    <row r="192" spans="1:19" ht="56.25" x14ac:dyDescent="0.25">
      <c r="A192" s="23"/>
      <c r="B192" s="101" t="s">
        <v>589</v>
      </c>
      <c r="C192" s="109">
        <f t="shared" si="20"/>
        <v>6</v>
      </c>
      <c r="D192" s="111">
        <v>6</v>
      </c>
      <c r="E192" s="111"/>
      <c r="F192" s="109">
        <f t="shared" si="21"/>
        <v>8.2363999999999997</v>
      </c>
      <c r="G192" s="111">
        <v>8.2363999999999997</v>
      </c>
      <c r="H192" s="128"/>
      <c r="I192" s="109">
        <f t="shared" si="37"/>
        <v>1.292</v>
      </c>
      <c r="J192" s="114">
        <v>1.292</v>
      </c>
      <c r="K192" s="111"/>
      <c r="L192" s="13">
        <f t="shared" si="38"/>
        <v>21.533333333333335</v>
      </c>
      <c r="M192" s="13"/>
      <c r="N192" s="16" t="s">
        <v>670</v>
      </c>
      <c r="O192" s="83" t="s">
        <v>590</v>
      </c>
      <c r="P192" s="60" t="s">
        <v>591</v>
      </c>
    </row>
    <row r="193" spans="1:19" x14ac:dyDescent="0.25">
      <c r="A193" s="23"/>
      <c r="B193" s="80" t="s">
        <v>27</v>
      </c>
      <c r="C193" s="109">
        <f t="shared" si="20"/>
        <v>47.988900000000001</v>
      </c>
      <c r="D193" s="111">
        <f>SUM(D187:D192)</f>
        <v>14.411</v>
      </c>
      <c r="E193" s="111">
        <f>SUM(E187:E192)</f>
        <v>33.5779</v>
      </c>
      <c r="F193" s="109">
        <f t="shared" si="21"/>
        <v>18.447400000000002</v>
      </c>
      <c r="G193" s="111">
        <f>SUM(G187:G192)</f>
        <v>18.447400000000002</v>
      </c>
      <c r="H193" s="111">
        <f>SUM(H187:H192)</f>
        <v>0</v>
      </c>
      <c r="I193" s="109">
        <f t="shared" si="37"/>
        <v>6.5030000000000001</v>
      </c>
      <c r="J193" s="111">
        <f>SUM(J187:J192)</f>
        <v>6.5030000000000001</v>
      </c>
      <c r="K193" s="111">
        <f>SUM(K187:K192)</f>
        <v>0</v>
      </c>
      <c r="L193" s="13">
        <f t="shared" si="38"/>
        <v>13.551050347059423</v>
      </c>
      <c r="M193" s="13"/>
      <c r="N193" s="36"/>
      <c r="O193" s="23"/>
      <c r="P193" s="23"/>
    </row>
    <row r="194" spans="1:19" x14ac:dyDescent="0.25">
      <c r="A194" s="23"/>
      <c r="B194" s="80"/>
      <c r="C194" s="109"/>
      <c r="D194" s="111"/>
      <c r="E194" s="111"/>
      <c r="F194" s="109"/>
      <c r="G194" s="111"/>
      <c r="H194" s="111"/>
      <c r="I194" s="109"/>
      <c r="J194" s="111"/>
      <c r="K194" s="111"/>
      <c r="L194" s="13"/>
      <c r="M194" s="13"/>
      <c r="N194" s="36"/>
      <c r="O194" s="23"/>
      <c r="P194" s="23"/>
      <c r="R194" s="121"/>
      <c r="S194" s="121"/>
    </row>
    <row r="195" spans="1:19" ht="22.5" x14ac:dyDescent="0.25">
      <c r="A195" s="23" t="s">
        <v>287</v>
      </c>
      <c r="B195" s="168" t="s">
        <v>288</v>
      </c>
      <c r="C195" s="109"/>
      <c r="D195" s="115"/>
      <c r="E195" s="115"/>
      <c r="F195" s="109"/>
      <c r="G195" s="115"/>
      <c r="H195" s="115"/>
      <c r="I195" s="109"/>
      <c r="J195" s="115"/>
      <c r="K195" s="115"/>
      <c r="L195" s="13"/>
      <c r="M195" s="13"/>
      <c r="N195" s="36"/>
      <c r="O195" s="27"/>
      <c r="P195" s="27"/>
    </row>
    <row r="196" spans="1:19" ht="38.25" x14ac:dyDescent="0.25">
      <c r="A196" s="23"/>
      <c r="B196" s="106" t="s">
        <v>289</v>
      </c>
      <c r="C196" s="109">
        <f t="shared" si="20"/>
        <v>18.39123</v>
      </c>
      <c r="D196" s="115">
        <v>18.39123</v>
      </c>
      <c r="E196" s="115"/>
      <c r="F196" s="109">
        <f t="shared" si="21"/>
        <v>24.75</v>
      </c>
      <c r="G196" s="115">
        <v>24.75</v>
      </c>
      <c r="H196" s="115"/>
      <c r="I196" s="109">
        <f t="shared" si="37"/>
        <v>18.39123</v>
      </c>
      <c r="J196" s="115">
        <v>18.39123</v>
      </c>
      <c r="K196" s="115"/>
      <c r="L196" s="13">
        <f>I196/C196*100</f>
        <v>100</v>
      </c>
      <c r="M196" s="13"/>
      <c r="N196" s="36" t="s">
        <v>81</v>
      </c>
      <c r="O196" s="27">
        <v>3</v>
      </c>
      <c r="P196" s="27" t="s">
        <v>290</v>
      </c>
    </row>
    <row r="197" spans="1:19" ht="112.5" x14ac:dyDescent="0.25">
      <c r="A197" s="23"/>
      <c r="B197" s="93" t="s">
        <v>291</v>
      </c>
      <c r="C197" s="109">
        <f t="shared" si="20"/>
        <v>28.958089999999999</v>
      </c>
      <c r="D197" s="115">
        <v>28.958089999999999</v>
      </c>
      <c r="E197" s="115"/>
      <c r="F197" s="109">
        <f t="shared" si="21"/>
        <v>28.958089999999999</v>
      </c>
      <c r="G197" s="115">
        <v>28.958089999999999</v>
      </c>
      <c r="H197" s="115"/>
      <c r="I197" s="109">
        <f t="shared" si="37"/>
        <v>28.958089999999999</v>
      </c>
      <c r="J197" s="115">
        <v>28.958089999999999</v>
      </c>
      <c r="K197" s="115"/>
      <c r="L197" s="13">
        <f>I197/C197*100</f>
        <v>100</v>
      </c>
      <c r="M197" s="13"/>
      <c r="N197" s="36" t="s">
        <v>241</v>
      </c>
      <c r="O197" s="27">
        <v>4</v>
      </c>
      <c r="P197" s="32" t="s">
        <v>243</v>
      </c>
    </row>
    <row r="198" spans="1:19" ht="45" x14ac:dyDescent="0.25">
      <c r="A198" s="23"/>
      <c r="B198" s="61" t="s">
        <v>292</v>
      </c>
      <c r="C198" s="109">
        <f t="shared" si="20"/>
        <v>8.5869900000000001</v>
      </c>
      <c r="D198" s="115">
        <v>8.5869900000000001</v>
      </c>
      <c r="E198" s="115"/>
      <c r="F198" s="109">
        <f t="shared" si="21"/>
        <v>8.5869900000000001</v>
      </c>
      <c r="G198" s="115">
        <v>8.5869900000000001</v>
      </c>
      <c r="H198" s="115"/>
      <c r="I198" s="109">
        <f t="shared" si="37"/>
        <v>8.5869900000000001</v>
      </c>
      <c r="J198" s="115">
        <v>8.5869900000000001</v>
      </c>
      <c r="K198" s="115"/>
      <c r="L198" s="13">
        <f>I198/C198*100</f>
        <v>100</v>
      </c>
      <c r="M198" s="13">
        <v>100</v>
      </c>
      <c r="N198" s="36" t="s">
        <v>293</v>
      </c>
      <c r="O198" s="27" t="s">
        <v>294</v>
      </c>
      <c r="P198" s="32" t="s">
        <v>295</v>
      </c>
    </row>
    <row r="199" spans="1:19" ht="45" x14ac:dyDescent="0.25">
      <c r="A199" s="23"/>
      <c r="B199" s="61" t="s">
        <v>296</v>
      </c>
      <c r="C199" s="109">
        <f t="shared" si="20"/>
        <v>91.309780000000003</v>
      </c>
      <c r="D199" s="115">
        <v>91.309780000000003</v>
      </c>
      <c r="E199" s="115"/>
      <c r="F199" s="109">
        <f t="shared" si="21"/>
        <v>91.309780000000003</v>
      </c>
      <c r="G199" s="115">
        <v>91.309780000000003</v>
      </c>
      <c r="H199" s="115"/>
      <c r="I199" s="109">
        <f t="shared" si="37"/>
        <v>0</v>
      </c>
      <c r="J199" s="115"/>
      <c r="K199" s="115"/>
      <c r="L199" s="13">
        <f>I199/C199*100</f>
        <v>0</v>
      </c>
      <c r="M199" s="13">
        <v>95</v>
      </c>
      <c r="N199" s="36" t="s">
        <v>297</v>
      </c>
      <c r="O199" s="27">
        <v>29</v>
      </c>
      <c r="P199" s="32" t="s">
        <v>298</v>
      </c>
    </row>
    <row r="200" spans="1:19" x14ac:dyDescent="0.25">
      <c r="A200" s="23"/>
      <c r="B200" s="61"/>
      <c r="C200" s="109">
        <f t="shared" si="20"/>
        <v>55.997340000000001</v>
      </c>
      <c r="D200" s="115">
        <v>55.997340000000001</v>
      </c>
      <c r="E200" s="115"/>
      <c r="F200" s="109"/>
      <c r="G200" s="115"/>
      <c r="H200" s="115"/>
      <c r="I200" s="109"/>
      <c r="J200" s="115"/>
      <c r="K200" s="115"/>
      <c r="L200" s="13"/>
      <c r="M200" s="13"/>
      <c r="N200" s="36"/>
      <c r="O200" s="27"/>
      <c r="P200" s="32"/>
    </row>
    <row r="201" spans="1:19" x14ac:dyDescent="0.25">
      <c r="A201" s="23"/>
      <c r="B201" s="106"/>
      <c r="C201" s="109">
        <f t="shared" si="20"/>
        <v>203.24343000000002</v>
      </c>
      <c r="D201" s="115">
        <f>SUM(D196:D200)</f>
        <v>203.24343000000002</v>
      </c>
      <c r="E201" s="115">
        <f>SUM(E196:E199)</f>
        <v>0</v>
      </c>
      <c r="F201" s="109">
        <f t="shared" si="21"/>
        <v>153.60486</v>
      </c>
      <c r="G201" s="115">
        <f>SUM(G196:G199)</f>
        <v>153.60486</v>
      </c>
      <c r="H201" s="115">
        <f>SUM(H196:H199)</f>
        <v>0</v>
      </c>
      <c r="I201" s="109">
        <f t="shared" si="37"/>
        <v>55.936309999999999</v>
      </c>
      <c r="J201" s="115">
        <f>SUM(J196:J199)</f>
        <v>55.936309999999999</v>
      </c>
      <c r="K201" s="115">
        <f>SUM(K196:K199)</f>
        <v>0</v>
      </c>
      <c r="L201" s="13">
        <f>I201/C201*100</f>
        <v>27.521829364914769</v>
      </c>
      <c r="M201" s="13"/>
      <c r="N201" s="36"/>
      <c r="O201" s="27"/>
      <c r="P201" s="27"/>
    </row>
    <row r="202" spans="1:19" x14ac:dyDescent="0.25">
      <c r="A202" s="23"/>
      <c r="B202" s="106"/>
      <c r="C202" s="109"/>
      <c r="D202" s="115"/>
      <c r="E202" s="115"/>
      <c r="F202" s="109"/>
      <c r="G202" s="115"/>
      <c r="H202" s="115"/>
      <c r="I202" s="109"/>
      <c r="J202" s="115"/>
      <c r="K202" s="115"/>
      <c r="L202" s="13"/>
      <c r="M202" s="13"/>
      <c r="N202" s="36"/>
      <c r="O202" s="27"/>
      <c r="P202" s="27"/>
      <c r="Q202" s="154"/>
    </row>
    <row r="203" spans="1:19" ht="45" x14ac:dyDescent="0.25">
      <c r="A203" s="22" t="s">
        <v>299</v>
      </c>
      <c r="B203" s="81" t="s">
        <v>300</v>
      </c>
      <c r="C203" s="109"/>
      <c r="D203" s="113"/>
      <c r="E203" s="113"/>
      <c r="F203" s="109"/>
      <c r="G203" s="109"/>
      <c r="H203" s="134"/>
      <c r="I203" s="109"/>
      <c r="J203" s="109"/>
      <c r="K203" s="109"/>
      <c r="L203" s="13"/>
      <c r="M203" s="13"/>
      <c r="N203" s="10"/>
      <c r="O203" s="10"/>
      <c r="P203" s="11"/>
    </row>
    <row r="204" spans="1:19" ht="45" x14ac:dyDescent="0.25">
      <c r="A204" s="22"/>
      <c r="B204" s="61" t="s">
        <v>301</v>
      </c>
      <c r="C204" s="109">
        <f t="shared" si="20"/>
        <v>10.448</v>
      </c>
      <c r="D204" s="109">
        <v>10.448</v>
      </c>
      <c r="E204" s="113"/>
      <c r="F204" s="109">
        <f t="shared" si="21"/>
        <v>10.448</v>
      </c>
      <c r="G204" s="109">
        <v>10.448</v>
      </c>
      <c r="H204" s="134"/>
      <c r="I204" s="109">
        <f t="shared" si="37"/>
        <v>10.448</v>
      </c>
      <c r="J204" s="109">
        <v>10.448</v>
      </c>
      <c r="K204" s="109"/>
      <c r="L204" s="13">
        <f t="shared" ref="L204:L216" si="39">I204/C204*100</f>
        <v>100</v>
      </c>
      <c r="M204" s="13">
        <v>100</v>
      </c>
      <c r="N204" s="10" t="s">
        <v>302</v>
      </c>
      <c r="O204" s="10">
        <v>50</v>
      </c>
      <c r="P204" s="32" t="s">
        <v>303</v>
      </c>
    </row>
    <row r="205" spans="1:19" ht="56.25" x14ac:dyDescent="0.25">
      <c r="A205" s="22"/>
      <c r="B205" s="61" t="s">
        <v>803</v>
      </c>
      <c r="C205" s="109">
        <f t="shared" si="20"/>
        <v>35.865760000000002</v>
      </c>
      <c r="D205" s="109">
        <f>28.50376+7.362</f>
        <v>35.865760000000002</v>
      </c>
      <c r="E205" s="113"/>
      <c r="F205" s="109">
        <f t="shared" si="21"/>
        <v>35.865760000000002</v>
      </c>
      <c r="G205" s="109">
        <f>28.50376+7.362</f>
        <v>35.865760000000002</v>
      </c>
      <c r="H205" s="134"/>
      <c r="I205" s="109">
        <f t="shared" si="37"/>
        <v>35.865760000000002</v>
      </c>
      <c r="J205" s="109">
        <f>28.50376+7.362</f>
        <v>35.865760000000002</v>
      </c>
      <c r="K205" s="109"/>
      <c r="L205" s="13">
        <f t="shared" si="39"/>
        <v>100</v>
      </c>
      <c r="M205" s="13">
        <v>100</v>
      </c>
      <c r="N205" s="10" t="s">
        <v>304</v>
      </c>
      <c r="O205" s="10">
        <v>66</v>
      </c>
      <c r="P205" s="32" t="s">
        <v>303</v>
      </c>
    </row>
    <row r="206" spans="1:19" x14ac:dyDescent="0.25">
      <c r="A206" s="22"/>
      <c r="B206" s="51" t="s">
        <v>305</v>
      </c>
      <c r="C206" s="109">
        <f t="shared" si="20"/>
        <v>1.6000000000000001E-3</v>
      </c>
      <c r="D206" s="111"/>
      <c r="E206" s="109">
        <v>1.6000000000000001E-3</v>
      </c>
      <c r="F206" s="109">
        <f t="shared" si="21"/>
        <v>0</v>
      </c>
      <c r="G206" s="128"/>
      <c r="H206" s="111"/>
      <c r="I206" s="109">
        <f t="shared" si="37"/>
        <v>0</v>
      </c>
      <c r="J206" s="111"/>
      <c r="K206" s="111"/>
      <c r="L206" s="13">
        <f t="shared" si="39"/>
        <v>0</v>
      </c>
      <c r="M206" s="13"/>
      <c r="N206" s="16"/>
      <c r="O206" s="20"/>
      <c r="P206" s="17"/>
    </row>
    <row r="207" spans="1:19" ht="45" x14ac:dyDescent="0.25">
      <c r="A207" s="22"/>
      <c r="B207" s="61" t="s">
        <v>306</v>
      </c>
      <c r="C207" s="109">
        <f t="shared" si="20"/>
        <v>64.819000000000003</v>
      </c>
      <c r="D207" s="128">
        <v>64.819000000000003</v>
      </c>
      <c r="E207" s="109"/>
      <c r="F207" s="109">
        <f t="shared" si="21"/>
        <v>69.423910000000006</v>
      </c>
      <c r="G207" s="128">
        <v>69.423910000000006</v>
      </c>
      <c r="H207" s="111"/>
      <c r="I207" s="109">
        <f t="shared" si="37"/>
        <v>0</v>
      </c>
      <c r="J207" s="111"/>
      <c r="K207" s="111"/>
      <c r="L207" s="13">
        <f t="shared" si="39"/>
        <v>0</v>
      </c>
      <c r="M207" s="13">
        <v>100</v>
      </c>
      <c r="N207" s="16" t="s">
        <v>307</v>
      </c>
      <c r="O207" s="20" t="s">
        <v>308</v>
      </c>
      <c r="P207" s="32" t="s">
        <v>309</v>
      </c>
    </row>
    <row r="208" spans="1:19" ht="56.25" x14ac:dyDescent="0.25">
      <c r="A208" s="22"/>
      <c r="B208" s="136" t="s">
        <v>523</v>
      </c>
      <c r="C208" s="109">
        <f t="shared" si="20"/>
        <v>10.72256</v>
      </c>
      <c r="D208" s="128">
        <v>10.72256</v>
      </c>
      <c r="E208" s="109"/>
      <c r="F208" s="109">
        <f t="shared" si="21"/>
        <v>44.073520000000002</v>
      </c>
      <c r="G208" s="128">
        <v>44.073520000000002</v>
      </c>
      <c r="H208" s="111"/>
      <c r="I208" s="109">
        <f t="shared" si="37"/>
        <v>9.6335300000000004</v>
      </c>
      <c r="J208" s="111">
        <f>4.63353+5</f>
        <v>9.6335300000000004</v>
      </c>
      <c r="K208" s="111"/>
      <c r="L208" s="13">
        <f t="shared" si="39"/>
        <v>89.843563477378538</v>
      </c>
      <c r="M208" s="13"/>
      <c r="N208" s="16" t="s">
        <v>682</v>
      </c>
      <c r="O208" s="20">
        <v>97</v>
      </c>
      <c r="P208" s="46" t="s">
        <v>519</v>
      </c>
      <c r="Q208" s="154"/>
    </row>
    <row r="209" spans="1:18" ht="33.75" x14ac:dyDescent="0.25">
      <c r="A209" s="22"/>
      <c r="B209" s="101" t="s">
        <v>557</v>
      </c>
      <c r="C209" s="109">
        <f t="shared" si="20"/>
        <v>3.4998800000000001</v>
      </c>
      <c r="D209" s="111">
        <v>3.4998800000000001</v>
      </c>
      <c r="E209" s="109"/>
      <c r="F209" s="109">
        <f t="shared" si="21"/>
        <v>0</v>
      </c>
      <c r="G209" s="128"/>
      <c r="H209" s="111"/>
      <c r="I209" s="109">
        <f t="shared" si="37"/>
        <v>3.4998800000000001</v>
      </c>
      <c r="J209" s="111">
        <v>3.4998800000000001</v>
      </c>
      <c r="K209" s="111"/>
      <c r="L209" s="13">
        <f t="shared" si="39"/>
        <v>100</v>
      </c>
      <c r="M209" s="13"/>
      <c r="N209" s="16" t="s">
        <v>552</v>
      </c>
      <c r="O209" s="20">
        <v>100</v>
      </c>
      <c r="P209" s="32" t="s">
        <v>405</v>
      </c>
    </row>
    <row r="210" spans="1:18" ht="56.25" x14ac:dyDescent="0.25">
      <c r="A210" s="22"/>
      <c r="B210" s="136" t="s">
        <v>592</v>
      </c>
      <c r="C210" s="109">
        <f t="shared" si="20"/>
        <v>6.9871100000000004</v>
      </c>
      <c r="D210" s="128">
        <v>6.9871100000000004</v>
      </c>
      <c r="E210" s="109"/>
      <c r="F210" s="109">
        <f t="shared" si="21"/>
        <v>44.075200000000002</v>
      </c>
      <c r="G210" s="128">
        <v>44.075200000000002</v>
      </c>
      <c r="H210" s="111"/>
      <c r="I210" s="109">
        <f t="shared" si="37"/>
        <v>6.4478799999999996</v>
      </c>
      <c r="J210" s="111">
        <v>6.4478799999999996</v>
      </c>
      <c r="K210" s="111"/>
      <c r="L210" s="13">
        <f t="shared" si="39"/>
        <v>92.282503066360761</v>
      </c>
      <c r="M210" s="13">
        <v>100</v>
      </c>
      <c r="N210" s="16" t="s">
        <v>524</v>
      </c>
      <c r="O210" s="20">
        <v>97</v>
      </c>
      <c r="P210" s="46" t="s">
        <v>519</v>
      </c>
      <c r="Q210" s="154"/>
    </row>
    <row r="211" spans="1:18" ht="45" x14ac:dyDescent="0.25">
      <c r="A211" s="22"/>
      <c r="B211" s="136" t="s">
        <v>593</v>
      </c>
      <c r="C211" s="109">
        <f t="shared" si="20"/>
        <v>13.43107</v>
      </c>
      <c r="D211" s="128">
        <v>13.43107</v>
      </c>
      <c r="E211" s="109"/>
      <c r="F211" s="109">
        <f t="shared" si="21"/>
        <v>0</v>
      </c>
      <c r="G211" s="128"/>
      <c r="H211" s="111"/>
      <c r="I211" s="109">
        <f t="shared" si="37"/>
        <v>12.751860000000001</v>
      </c>
      <c r="J211" s="111">
        <v>12.751860000000001</v>
      </c>
      <c r="K211" s="111"/>
      <c r="L211" s="13">
        <f t="shared" si="39"/>
        <v>94.942994117371143</v>
      </c>
      <c r="M211" s="13">
        <v>100</v>
      </c>
      <c r="N211" s="16" t="s">
        <v>524</v>
      </c>
      <c r="O211" s="20">
        <v>97</v>
      </c>
      <c r="P211" s="46" t="s">
        <v>519</v>
      </c>
    </row>
    <row r="212" spans="1:18" ht="45" x14ac:dyDescent="0.25">
      <c r="A212" s="22"/>
      <c r="B212" s="136" t="s">
        <v>594</v>
      </c>
      <c r="C212" s="109">
        <f t="shared" si="20"/>
        <v>12.932779999999999</v>
      </c>
      <c r="D212" s="128">
        <v>12.932779999999999</v>
      </c>
      <c r="E212" s="109"/>
      <c r="F212" s="109">
        <f t="shared" si="21"/>
        <v>0</v>
      </c>
      <c r="G212" s="128"/>
      <c r="H212" s="111"/>
      <c r="I212" s="109">
        <f t="shared" si="37"/>
        <v>12.4504</v>
      </c>
      <c r="J212" s="111">
        <v>12.4504</v>
      </c>
      <c r="K212" s="111"/>
      <c r="L212" s="13">
        <f t="shared" si="39"/>
        <v>96.270098153683904</v>
      </c>
      <c r="M212" s="13">
        <v>100</v>
      </c>
      <c r="N212" s="16" t="s">
        <v>524</v>
      </c>
      <c r="O212" s="20">
        <v>97</v>
      </c>
      <c r="P212" s="46" t="s">
        <v>519</v>
      </c>
    </row>
    <row r="213" spans="1:18" ht="45" x14ac:dyDescent="0.25">
      <c r="A213" s="22"/>
      <c r="B213" s="161" t="s">
        <v>804</v>
      </c>
      <c r="C213" s="109">
        <f t="shared" si="20"/>
        <v>24.19163</v>
      </c>
      <c r="D213" s="128">
        <v>24.19163</v>
      </c>
      <c r="E213" s="109"/>
      <c r="F213" s="109">
        <f t="shared" si="21"/>
        <v>24.19163</v>
      </c>
      <c r="G213" s="128">
        <v>24.19163</v>
      </c>
      <c r="H213" s="111"/>
      <c r="I213" s="109"/>
      <c r="J213" s="111"/>
      <c r="K213" s="111"/>
      <c r="L213" s="13">
        <f t="shared" si="39"/>
        <v>0</v>
      </c>
      <c r="M213" s="13">
        <v>100</v>
      </c>
      <c r="N213" s="16" t="s">
        <v>679</v>
      </c>
      <c r="O213" s="20" t="s">
        <v>671</v>
      </c>
      <c r="P213" s="161" t="s">
        <v>303</v>
      </c>
    </row>
    <row r="214" spans="1:18" ht="39" customHeight="1" x14ac:dyDescent="0.25">
      <c r="A214" s="22"/>
      <c r="B214" s="101" t="s">
        <v>805</v>
      </c>
      <c r="C214" s="109">
        <f t="shared" si="20"/>
        <v>4.72</v>
      </c>
      <c r="D214" s="128">
        <v>4.72</v>
      </c>
      <c r="E214" s="109"/>
      <c r="F214" s="109"/>
      <c r="G214" s="128">
        <v>4.72</v>
      </c>
      <c r="H214" s="111"/>
      <c r="I214" s="109"/>
      <c r="J214" s="111"/>
      <c r="K214" s="111"/>
      <c r="L214" s="13">
        <f t="shared" si="39"/>
        <v>0</v>
      </c>
      <c r="M214" s="13"/>
      <c r="N214" s="16" t="s">
        <v>681</v>
      </c>
      <c r="O214" s="20" t="s">
        <v>672</v>
      </c>
      <c r="P214" s="144" t="s">
        <v>680</v>
      </c>
    </row>
    <row r="215" spans="1:18" ht="20.25" customHeight="1" x14ac:dyDescent="0.25">
      <c r="A215" s="22"/>
      <c r="B215" s="101"/>
      <c r="C215" s="109">
        <f t="shared" si="20"/>
        <v>3.2212999999999998</v>
      </c>
      <c r="D215" s="128">
        <v>3.2212999999999998</v>
      </c>
      <c r="E215" s="109"/>
      <c r="F215" s="109"/>
      <c r="G215" s="128"/>
      <c r="H215" s="111"/>
      <c r="I215" s="109"/>
      <c r="J215" s="111"/>
      <c r="K215" s="111"/>
      <c r="L215" s="13">
        <f t="shared" si="39"/>
        <v>0</v>
      </c>
      <c r="M215" s="13"/>
      <c r="N215" s="16"/>
      <c r="O215" s="20"/>
      <c r="P215" s="144"/>
    </row>
    <row r="216" spans="1:18" x14ac:dyDescent="0.25">
      <c r="A216" s="22"/>
      <c r="B216" s="81" t="s">
        <v>27</v>
      </c>
      <c r="C216" s="109">
        <f t="shared" si="20"/>
        <v>190.84069000000002</v>
      </c>
      <c r="D216" s="109">
        <f>SUM(D203:D215)</f>
        <v>190.83909000000003</v>
      </c>
      <c r="E216" s="109">
        <f>SUM(E203:E213)</f>
        <v>1.6000000000000001E-3</v>
      </c>
      <c r="F216" s="109">
        <f t="shared" si="21"/>
        <v>228.07802000000001</v>
      </c>
      <c r="G216" s="109">
        <f>SUM(G203:G213)</f>
        <v>228.07802000000001</v>
      </c>
      <c r="H216" s="109">
        <f>SUM(H203:H213)</f>
        <v>0</v>
      </c>
      <c r="I216" s="109">
        <f t="shared" si="37"/>
        <v>91.097309999999993</v>
      </c>
      <c r="J216" s="109">
        <f>SUM(J203:J213)</f>
        <v>91.097309999999993</v>
      </c>
      <c r="K216" s="109">
        <f>SUM(K203:K213)</f>
        <v>0</v>
      </c>
      <c r="L216" s="13">
        <f t="shared" si="39"/>
        <v>47.734741474682359</v>
      </c>
      <c r="M216" s="13"/>
      <c r="N216" s="149"/>
      <c r="O216" s="34"/>
      <c r="P216" s="34"/>
    </row>
    <row r="217" spans="1:18" x14ac:dyDescent="0.25">
      <c r="A217" s="22"/>
      <c r="B217" s="81"/>
      <c r="C217" s="109"/>
      <c r="D217" s="109"/>
      <c r="E217" s="109"/>
      <c r="F217" s="109"/>
      <c r="G217" s="109"/>
      <c r="H217" s="109"/>
      <c r="I217" s="109"/>
      <c r="J217" s="109"/>
      <c r="K217" s="109"/>
      <c r="L217" s="13"/>
      <c r="M217" s="13"/>
      <c r="N217" s="149"/>
      <c r="O217" s="34"/>
      <c r="P217" s="34"/>
      <c r="R217" s="121"/>
    </row>
    <row r="218" spans="1:18" ht="22.5" x14ac:dyDescent="0.25">
      <c r="A218" s="107" t="s">
        <v>567</v>
      </c>
      <c r="B218" s="81" t="s">
        <v>568</v>
      </c>
      <c r="C218" s="109"/>
      <c r="D218" s="109"/>
      <c r="E218" s="109"/>
      <c r="F218" s="109"/>
      <c r="G218" s="109"/>
      <c r="H218" s="109"/>
      <c r="I218" s="109"/>
      <c r="J218" s="109"/>
      <c r="K218" s="109"/>
      <c r="L218" s="13"/>
      <c r="M218" s="13"/>
      <c r="N218" s="149"/>
      <c r="O218" s="34"/>
      <c r="P218" s="34"/>
    </row>
    <row r="219" spans="1:18" ht="33.75" x14ac:dyDescent="0.25">
      <c r="A219" s="22"/>
      <c r="B219" s="101" t="s">
        <v>569</v>
      </c>
      <c r="C219" s="109">
        <f t="shared" si="20"/>
        <v>13.431940000000001</v>
      </c>
      <c r="D219" s="109">
        <v>13.431940000000001</v>
      </c>
      <c r="E219" s="109"/>
      <c r="F219" s="109">
        <f t="shared" si="21"/>
        <v>13.431940000000001</v>
      </c>
      <c r="G219" s="109">
        <v>13.431940000000001</v>
      </c>
      <c r="H219" s="109"/>
      <c r="I219" s="109">
        <f t="shared" si="37"/>
        <v>13.30649</v>
      </c>
      <c r="J219" s="109">
        <f>2.68638+10.62011</f>
        <v>13.30649</v>
      </c>
      <c r="K219" s="109"/>
      <c r="L219" s="13">
        <f>I219/C219*100</f>
        <v>99.066032159166866</v>
      </c>
      <c r="M219" s="13">
        <v>100</v>
      </c>
      <c r="N219" s="36" t="s">
        <v>571</v>
      </c>
      <c r="O219" s="23" t="s">
        <v>572</v>
      </c>
      <c r="P219" s="101" t="s">
        <v>570</v>
      </c>
    </row>
    <row r="220" spans="1:18" s="108" customFormat="1" x14ac:dyDescent="0.25">
      <c r="A220" s="22"/>
      <c r="B220" s="81"/>
      <c r="C220" s="109"/>
      <c r="D220" s="109"/>
      <c r="E220" s="109"/>
      <c r="F220" s="109"/>
      <c r="G220" s="109"/>
      <c r="H220" s="109"/>
      <c r="I220" s="109"/>
      <c r="J220" s="109"/>
      <c r="K220" s="109"/>
      <c r="L220" s="13"/>
      <c r="M220" s="13"/>
      <c r="N220" s="149"/>
      <c r="O220" s="34"/>
      <c r="P220" s="34"/>
      <c r="Q220" s="155"/>
    </row>
    <row r="221" spans="1:18" ht="22.5" x14ac:dyDescent="0.25">
      <c r="A221" s="22" t="s">
        <v>310</v>
      </c>
      <c r="B221" s="81" t="s">
        <v>311</v>
      </c>
      <c r="C221" s="109"/>
      <c r="D221" s="113"/>
      <c r="E221" s="113"/>
      <c r="F221" s="109"/>
      <c r="G221" s="109"/>
      <c r="H221" s="134"/>
      <c r="I221" s="109"/>
      <c r="J221" s="109"/>
      <c r="K221" s="109"/>
      <c r="L221" s="13"/>
      <c r="M221" s="13"/>
      <c r="N221" s="10"/>
      <c r="O221" s="10"/>
      <c r="P221" s="11"/>
    </row>
    <row r="222" spans="1:18" ht="45" x14ac:dyDescent="0.25">
      <c r="A222" s="3"/>
      <c r="B222" s="50" t="s">
        <v>312</v>
      </c>
      <c r="C222" s="109">
        <f t="shared" si="20"/>
        <v>10.18796</v>
      </c>
      <c r="D222" s="109"/>
      <c r="E222" s="129">
        <v>10.18796</v>
      </c>
      <c r="F222" s="109">
        <f t="shared" si="21"/>
        <v>10.18796</v>
      </c>
      <c r="G222" s="109"/>
      <c r="H222" s="129">
        <v>10.18796</v>
      </c>
      <c r="I222" s="109">
        <f t="shared" si="37"/>
        <v>9.0197800000000008</v>
      </c>
      <c r="J222" s="111"/>
      <c r="K222" s="111">
        <v>9.0197800000000008</v>
      </c>
      <c r="L222" s="13">
        <f t="shared" ref="L222:L255" si="40">I222/C222*100</f>
        <v>88.533720195210819</v>
      </c>
      <c r="M222" s="13"/>
      <c r="N222" s="55" t="s">
        <v>313</v>
      </c>
      <c r="O222" s="56">
        <v>156</v>
      </c>
      <c r="P222" s="50" t="s">
        <v>314</v>
      </c>
    </row>
    <row r="223" spans="1:18" x14ac:dyDescent="0.25">
      <c r="A223" s="3"/>
      <c r="B223" s="85" t="s">
        <v>315</v>
      </c>
      <c r="C223" s="109">
        <f t="shared" si="20"/>
        <v>0.90410000000000001</v>
      </c>
      <c r="D223" s="111"/>
      <c r="E223" s="133">
        <v>0.90410000000000001</v>
      </c>
      <c r="F223" s="109">
        <f t="shared" si="21"/>
        <v>0</v>
      </c>
      <c r="G223" s="111"/>
      <c r="H223" s="110"/>
      <c r="I223" s="109">
        <f t="shared" si="37"/>
        <v>0</v>
      </c>
      <c r="J223" s="111"/>
      <c r="K223" s="111"/>
      <c r="L223" s="13">
        <f t="shared" si="40"/>
        <v>0</v>
      </c>
      <c r="M223" s="13"/>
      <c r="N223" s="36"/>
      <c r="O223" s="2"/>
      <c r="P223" s="17"/>
    </row>
    <row r="224" spans="1:18" x14ac:dyDescent="0.25">
      <c r="A224" s="3"/>
      <c r="B224" s="85" t="s">
        <v>316</v>
      </c>
      <c r="C224" s="109">
        <f t="shared" si="20"/>
        <v>0.39915</v>
      </c>
      <c r="D224" s="111"/>
      <c r="E224" s="133">
        <v>0.39915</v>
      </c>
      <c r="F224" s="109">
        <f t="shared" si="21"/>
        <v>0</v>
      </c>
      <c r="G224" s="111"/>
      <c r="H224" s="110"/>
      <c r="I224" s="109">
        <f t="shared" si="37"/>
        <v>0</v>
      </c>
      <c r="J224" s="111"/>
      <c r="K224" s="111"/>
      <c r="L224" s="13">
        <f t="shared" si="40"/>
        <v>0</v>
      </c>
      <c r="M224" s="13"/>
      <c r="N224" s="36"/>
      <c r="O224" s="2"/>
      <c r="P224" s="17"/>
    </row>
    <row r="225" spans="1:19" ht="67.5" x14ac:dyDescent="0.25">
      <c r="A225" s="3"/>
      <c r="B225" s="50" t="s">
        <v>317</v>
      </c>
      <c r="C225" s="109">
        <f t="shared" si="20"/>
        <v>0.4</v>
      </c>
      <c r="D225" s="111"/>
      <c r="E225" s="110">
        <v>0.4</v>
      </c>
      <c r="F225" s="109">
        <f t="shared" si="21"/>
        <v>0.4</v>
      </c>
      <c r="G225" s="111"/>
      <c r="H225" s="110">
        <v>0.4</v>
      </c>
      <c r="I225" s="109">
        <f t="shared" si="37"/>
        <v>0.4</v>
      </c>
      <c r="J225" s="111"/>
      <c r="K225" s="111">
        <v>0.4</v>
      </c>
      <c r="L225" s="13">
        <f t="shared" si="40"/>
        <v>100</v>
      </c>
      <c r="M225" s="13"/>
      <c r="N225" s="162">
        <v>44475</v>
      </c>
      <c r="O225" s="50" t="s">
        <v>772</v>
      </c>
      <c r="P225" s="50" t="s">
        <v>318</v>
      </c>
    </row>
    <row r="226" spans="1:19" ht="56.25" x14ac:dyDescent="0.25">
      <c r="A226" s="3"/>
      <c r="B226" s="50" t="s">
        <v>319</v>
      </c>
      <c r="C226" s="109">
        <f t="shared" si="20"/>
        <v>25.26146</v>
      </c>
      <c r="D226" s="111">
        <v>9.7666900000000005</v>
      </c>
      <c r="E226" s="110">
        <v>15.494770000000001</v>
      </c>
      <c r="F226" s="109">
        <f t="shared" si="21"/>
        <v>25.26146</v>
      </c>
      <c r="G226" s="111">
        <v>9.7666900000000005</v>
      </c>
      <c r="H226" s="110">
        <v>15.494770000000001</v>
      </c>
      <c r="I226" s="109">
        <f t="shared" si="37"/>
        <v>24.868649999999999</v>
      </c>
      <c r="J226" s="111">
        <f>6.335+2.88789</f>
        <v>9.2228899999999996</v>
      </c>
      <c r="K226" s="111">
        <f>7.058+8.58776</f>
        <v>15.645759999999999</v>
      </c>
      <c r="L226" s="13">
        <f t="shared" si="40"/>
        <v>98.445022575892281</v>
      </c>
      <c r="M226" s="13">
        <v>100</v>
      </c>
      <c r="N226" s="53" t="s">
        <v>320</v>
      </c>
      <c r="O226" s="2" t="s">
        <v>321</v>
      </c>
      <c r="P226" s="47" t="s">
        <v>322</v>
      </c>
      <c r="Q226" s="154"/>
      <c r="R226" s="121"/>
      <c r="S226" s="121"/>
    </row>
    <row r="227" spans="1:19" x14ac:dyDescent="0.25">
      <c r="A227" s="3"/>
      <c r="B227" s="50" t="s">
        <v>323</v>
      </c>
      <c r="C227" s="109">
        <f t="shared" si="20"/>
        <v>24.14781</v>
      </c>
      <c r="D227" s="111">
        <v>4.6307700000000001</v>
      </c>
      <c r="E227" s="110">
        <v>19.517040000000001</v>
      </c>
      <c r="F227" s="109">
        <f t="shared" si="21"/>
        <v>24.14781</v>
      </c>
      <c r="G227" s="111">
        <v>4.6307700000000001</v>
      </c>
      <c r="H227" s="110">
        <v>19.517040000000001</v>
      </c>
      <c r="I227" s="109">
        <f t="shared" si="37"/>
        <v>24.145879999999998</v>
      </c>
      <c r="J227" s="111">
        <f>3.61629+1.01489</f>
        <v>4.6311799999999996</v>
      </c>
      <c r="K227" s="111">
        <f>8.931+10.5837</f>
        <v>19.514699999999998</v>
      </c>
      <c r="L227" s="13">
        <f t="shared" si="40"/>
        <v>99.992007556792927</v>
      </c>
      <c r="M227" s="13"/>
      <c r="N227" s="53"/>
      <c r="O227" s="2"/>
      <c r="P227" s="47"/>
    </row>
    <row r="228" spans="1:19" x14ac:dyDescent="0.25">
      <c r="A228" s="3"/>
      <c r="B228" s="50" t="s">
        <v>324</v>
      </c>
      <c r="C228" s="109">
        <f t="shared" si="20"/>
        <v>24.901679999999999</v>
      </c>
      <c r="D228" s="111">
        <v>9.3997100000000007</v>
      </c>
      <c r="E228" s="110">
        <v>15.50197</v>
      </c>
      <c r="F228" s="109">
        <f t="shared" si="21"/>
        <v>24.901679999999999</v>
      </c>
      <c r="G228" s="111">
        <v>9.3997100000000007</v>
      </c>
      <c r="H228" s="110">
        <v>15.50197</v>
      </c>
      <c r="I228" s="109">
        <f t="shared" si="37"/>
        <v>24.664749999999998</v>
      </c>
      <c r="J228" s="111">
        <f>6.33556+2.97587</f>
        <v>9.3114299999999997</v>
      </c>
      <c r="K228" s="111">
        <f>6.997+8.35632</f>
        <v>15.35332</v>
      </c>
      <c r="L228" s="13">
        <f t="shared" si="40"/>
        <v>99.048538090602719</v>
      </c>
      <c r="M228" s="13"/>
      <c r="N228" s="53"/>
      <c r="O228" s="2"/>
      <c r="P228" s="47"/>
    </row>
    <row r="229" spans="1:19" ht="33.75" x14ac:dyDescent="0.25">
      <c r="A229" s="3"/>
      <c r="B229" s="50" t="s">
        <v>325</v>
      </c>
      <c r="C229" s="109">
        <f t="shared" si="20"/>
        <v>9.7982300000000002</v>
      </c>
      <c r="D229" s="111"/>
      <c r="E229" s="110">
        <v>9.7982300000000002</v>
      </c>
      <c r="F229" s="109">
        <f t="shared" si="21"/>
        <v>9.7994000000000003</v>
      </c>
      <c r="G229" s="111"/>
      <c r="H229" s="110">
        <v>9.7994000000000003</v>
      </c>
      <c r="I229" s="109">
        <f t="shared" si="37"/>
        <v>9.7982300000000002</v>
      </c>
      <c r="J229" s="111"/>
      <c r="K229" s="111">
        <v>9.7982300000000002</v>
      </c>
      <c r="L229" s="13">
        <f t="shared" si="40"/>
        <v>100</v>
      </c>
      <c r="M229" s="13">
        <v>100</v>
      </c>
      <c r="N229" s="69" t="s">
        <v>326</v>
      </c>
      <c r="O229" s="2">
        <v>60</v>
      </c>
      <c r="P229" s="50" t="s">
        <v>327</v>
      </c>
    </row>
    <row r="230" spans="1:19" ht="33.75" x14ac:dyDescent="0.25">
      <c r="A230" s="3"/>
      <c r="B230" s="50" t="s">
        <v>328</v>
      </c>
      <c r="C230" s="109">
        <f t="shared" si="20"/>
        <v>19.603950000000001</v>
      </c>
      <c r="D230" s="111"/>
      <c r="E230" s="110">
        <v>19.603950000000001</v>
      </c>
      <c r="F230" s="109">
        <f t="shared" si="21"/>
        <v>19.603950000000001</v>
      </c>
      <c r="G230" s="129"/>
      <c r="H230" s="110">
        <v>19.603950000000001</v>
      </c>
      <c r="I230" s="109">
        <f t="shared" si="37"/>
        <v>19.034400000000002</v>
      </c>
      <c r="J230" s="111"/>
      <c r="K230" s="111">
        <f>3.15776+15.87664</f>
        <v>19.034400000000002</v>
      </c>
      <c r="L230" s="13">
        <f t="shared" si="40"/>
        <v>97.094718156289943</v>
      </c>
      <c r="M230" s="13">
        <v>100</v>
      </c>
      <c r="N230" s="69" t="s">
        <v>329</v>
      </c>
      <c r="O230" s="2" t="s">
        <v>330</v>
      </c>
      <c r="P230" s="50" t="s">
        <v>331</v>
      </c>
      <c r="R230" s="121"/>
    </row>
    <row r="231" spans="1:19" ht="33.75" x14ac:dyDescent="0.25">
      <c r="A231" s="3"/>
      <c r="B231" s="50" t="s">
        <v>332</v>
      </c>
      <c r="C231" s="109">
        <f t="shared" si="20"/>
        <v>19.602620000000002</v>
      </c>
      <c r="D231" s="111"/>
      <c r="E231" s="110">
        <v>19.602620000000002</v>
      </c>
      <c r="F231" s="109">
        <f t="shared" si="21"/>
        <v>19.602620000000002</v>
      </c>
      <c r="G231" s="129"/>
      <c r="H231" s="110">
        <v>19.602620000000002</v>
      </c>
      <c r="I231" s="109">
        <f t="shared" si="37"/>
        <v>19.041180000000001</v>
      </c>
      <c r="J231" s="111"/>
      <c r="K231" s="111">
        <f>1.983+17.05818</f>
        <v>19.041180000000001</v>
      </c>
      <c r="L231" s="13">
        <f t="shared" si="40"/>
        <v>97.135893059193108</v>
      </c>
      <c r="M231" s="13">
        <v>100</v>
      </c>
      <c r="N231" s="69" t="s">
        <v>329</v>
      </c>
      <c r="O231" s="2" t="s">
        <v>330</v>
      </c>
      <c r="P231" s="50" t="s">
        <v>331</v>
      </c>
    </row>
    <row r="232" spans="1:19" ht="33.75" x14ac:dyDescent="0.25">
      <c r="A232" s="3"/>
      <c r="B232" s="50" t="s">
        <v>333</v>
      </c>
      <c r="C232" s="109">
        <f t="shared" si="20"/>
        <v>19.604780000000002</v>
      </c>
      <c r="D232" s="111"/>
      <c r="E232" s="110">
        <v>19.604780000000002</v>
      </c>
      <c r="F232" s="109">
        <f t="shared" si="21"/>
        <v>19.604780000000002</v>
      </c>
      <c r="G232" s="129"/>
      <c r="H232" s="110">
        <v>19.604780000000002</v>
      </c>
      <c r="I232" s="109">
        <f t="shared" si="37"/>
        <v>19.007279999999998</v>
      </c>
      <c r="J232" s="111"/>
      <c r="K232" s="111">
        <f>6.42295+9.604+2.98033</f>
        <v>19.007279999999998</v>
      </c>
      <c r="L232" s="13">
        <f t="shared" si="40"/>
        <v>96.952273884226173</v>
      </c>
      <c r="M232" s="13">
        <v>100</v>
      </c>
      <c r="N232" s="69" t="s">
        <v>329</v>
      </c>
      <c r="O232" s="2" t="s">
        <v>330</v>
      </c>
      <c r="P232" s="50" t="s">
        <v>331</v>
      </c>
    </row>
    <row r="233" spans="1:19" ht="33.75" x14ac:dyDescent="0.25">
      <c r="A233" s="3"/>
      <c r="B233" s="50" t="s">
        <v>334</v>
      </c>
      <c r="C233" s="109">
        <f t="shared" si="20"/>
        <v>25.979689999999998</v>
      </c>
      <c r="D233" s="111">
        <v>5.9796899999999997</v>
      </c>
      <c r="E233" s="111">
        <v>20</v>
      </c>
      <c r="F233" s="109">
        <f t="shared" si="21"/>
        <v>26.252009999999999</v>
      </c>
      <c r="G233" s="111"/>
      <c r="H233" s="111">
        <v>26.252009999999999</v>
      </c>
      <c r="I233" s="109">
        <f t="shared" si="37"/>
        <v>25.103659999999998</v>
      </c>
      <c r="J233" s="111">
        <v>5.9796899999999997</v>
      </c>
      <c r="K233" s="111">
        <f>19.12397</f>
        <v>19.12397</v>
      </c>
      <c r="L233" s="13">
        <f t="shared" si="40"/>
        <v>96.628019810859939</v>
      </c>
      <c r="M233" s="13">
        <v>100</v>
      </c>
      <c r="N233" s="69" t="s">
        <v>329</v>
      </c>
      <c r="O233" s="2" t="s">
        <v>330</v>
      </c>
      <c r="P233" s="50" t="s">
        <v>331</v>
      </c>
    </row>
    <row r="234" spans="1:19" ht="33.75" x14ac:dyDescent="0.25">
      <c r="A234" s="3"/>
      <c r="B234" s="50" t="s">
        <v>335</v>
      </c>
      <c r="C234" s="109">
        <f t="shared" si="20"/>
        <v>19.606290000000001</v>
      </c>
      <c r="D234" s="111"/>
      <c r="E234" s="111">
        <v>19.606290000000001</v>
      </c>
      <c r="F234" s="109">
        <f t="shared" si="21"/>
        <v>19.606290000000001</v>
      </c>
      <c r="G234" s="111"/>
      <c r="H234" s="111">
        <v>19.606290000000001</v>
      </c>
      <c r="I234" s="109">
        <f t="shared" si="37"/>
        <v>17.573</v>
      </c>
      <c r="J234" s="111"/>
      <c r="K234" s="111">
        <v>17.573</v>
      </c>
      <c r="L234" s="13">
        <f t="shared" si="40"/>
        <v>89.629399544737936</v>
      </c>
      <c r="M234" s="13">
        <v>100</v>
      </c>
      <c r="N234" s="69" t="s">
        <v>329</v>
      </c>
      <c r="O234" s="2" t="s">
        <v>330</v>
      </c>
      <c r="P234" s="50" t="s">
        <v>331</v>
      </c>
    </row>
    <row r="235" spans="1:19" ht="33.75" x14ac:dyDescent="0.25">
      <c r="A235" s="3"/>
      <c r="B235" s="50" t="s">
        <v>336</v>
      </c>
      <c r="C235" s="109">
        <f t="shared" si="20"/>
        <v>19.604099999999999</v>
      </c>
      <c r="D235" s="111"/>
      <c r="E235" s="111">
        <v>19.604099999999999</v>
      </c>
      <c r="F235" s="109">
        <f t="shared" si="21"/>
        <v>19.604099999999999</v>
      </c>
      <c r="G235" s="111"/>
      <c r="H235" s="111">
        <v>19.604099999999999</v>
      </c>
      <c r="I235" s="109">
        <f t="shared" si="37"/>
        <v>17.916129999999999</v>
      </c>
      <c r="J235" s="111"/>
      <c r="K235" s="111">
        <f>2.88586+15.03027</f>
        <v>17.916129999999999</v>
      </c>
      <c r="L235" s="13">
        <f t="shared" si="40"/>
        <v>91.389709295504503</v>
      </c>
      <c r="M235" s="13">
        <v>100</v>
      </c>
      <c r="N235" s="69" t="s">
        <v>329</v>
      </c>
      <c r="O235" s="2" t="s">
        <v>330</v>
      </c>
      <c r="P235" s="50" t="s">
        <v>331</v>
      </c>
    </row>
    <row r="236" spans="1:19" ht="33.75" x14ac:dyDescent="0.25">
      <c r="A236" s="3"/>
      <c r="B236" s="50" t="s">
        <v>337</v>
      </c>
      <c r="C236" s="109">
        <f t="shared" si="20"/>
        <v>15.683669999999999</v>
      </c>
      <c r="D236" s="111"/>
      <c r="E236" s="111">
        <v>15.683669999999999</v>
      </c>
      <c r="F236" s="109">
        <f t="shared" si="21"/>
        <v>15.683669999999999</v>
      </c>
      <c r="G236" s="111"/>
      <c r="H236" s="111">
        <v>15.683669999999999</v>
      </c>
      <c r="I236" s="109">
        <f t="shared" si="37"/>
        <v>15.26182</v>
      </c>
      <c r="J236" s="111"/>
      <c r="K236" s="111">
        <f>12.33054+2.93128</f>
        <v>15.26182</v>
      </c>
      <c r="L236" s="13">
        <f t="shared" si="40"/>
        <v>97.310259652237022</v>
      </c>
      <c r="M236" s="13">
        <v>100</v>
      </c>
      <c r="N236" s="69" t="s">
        <v>329</v>
      </c>
      <c r="O236" s="2" t="s">
        <v>330</v>
      </c>
      <c r="P236" s="50" t="s">
        <v>331</v>
      </c>
    </row>
    <row r="237" spans="1:19" ht="33.75" x14ac:dyDescent="0.25">
      <c r="A237" s="3"/>
      <c r="B237" s="50" t="s">
        <v>338</v>
      </c>
      <c r="C237" s="109">
        <f t="shared" si="20"/>
        <v>15.67625</v>
      </c>
      <c r="D237" s="111"/>
      <c r="E237" s="111">
        <v>15.67625</v>
      </c>
      <c r="F237" s="109">
        <f t="shared" si="21"/>
        <v>15.67625</v>
      </c>
      <c r="G237" s="111"/>
      <c r="H237" s="111">
        <v>15.67625</v>
      </c>
      <c r="I237" s="109">
        <f t="shared" si="37"/>
        <v>15.233040000000001</v>
      </c>
      <c r="J237" s="111"/>
      <c r="K237" s="111">
        <f>13.02593+2.20711</f>
        <v>15.233040000000001</v>
      </c>
      <c r="L237" s="13">
        <f t="shared" si="40"/>
        <v>97.172729447412493</v>
      </c>
      <c r="M237" s="13">
        <v>100</v>
      </c>
      <c r="N237" s="69" t="s">
        <v>329</v>
      </c>
      <c r="O237" s="2" t="s">
        <v>330</v>
      </c>
      <c r="P237" s="50" t="s">
        <v>331</v>
      </c>
    </row>
    <row r="238" spans="1:19" ht="33.75" x14ac:dyDescent="0.25">
      <c r="A238" s="3"/>
      <c r="B238" s="47" t="s">
        <v>339</v>
      </c>
      <c r="C238" s="109">
        <f t="shared" si="20"/>
        <v>24.32338</v>
      </c>
      <c r="D238" s="111">
        <f>1.20937+7.34397</f>
        <v>8.5533400000000004</v>
      </c>
      <c r="E238" s="110">
        <v>15.77004</v>
      </c>
      <c r="F238" s="109">
        <f t="shared" si="21"/>
        <v>24.32338</v>
      </c>
      <c r="G238" s="111"/>
      <c r="H238" s="110">
        <v>24.32338</v>
      </c>
      <c r="I238" s="109">
        <f t="shared" si="37"/>
        <v>23.614930000000001</v>
      </c>
      <c r="J238" s="111">
        <f>1.20937+7.34397</f>
        <v>8.5533400000000004</v>
      </c>
      <c r="K238" s="111">
        <f>12.932+2.12959</f>
        <v>15.061590000000001</v>
      </c>
      <c r="L238" s="13">
        <f t="shared" si="40"/>
        <v>97.087370258574268</v>
      </c>
      <c r="M238" s="13">
        <v>100</v>
      </c>
      <c r="N238" s="53" t="s">
        <v>320</v>
      </c>
      <c r="O238" s="2">
        <v>56</v>
      </c>
      <c r="P238" s="50" t="s">
        <v>340</v>
      </c>
      <c r="Q238" s="154"/>
      <c r="R238" s="121"/>
    </row>
    <row r="239" spans="1:19" ht="23.25" x14ac:dyDescent="0.25">
      <c r="A239" s="3"/>
      <c r="B239" s="47" t="s">
        <v>341</v>
      </c>
      <c r="C239" s="109">
        <f t="shared" si="20"/>
        <v>23.317060000000001</v>
      </c>
      <c r="D239" s="111">
        <f>0.49683+3.28657</f>
        <v>3.7834000000000003</v>
      </c>
      <c r="E239" s="110">
        <v>19.533660000000001</v>
      </c>
      <c r="F239" s="109">
        <f t="shared" si="21"/>
        <v>23.317060000000001</v>
      </c>
      <c r="G239" s="111"/>
      <c r="H239" s="110">
        <v>23.317060000000001</v>
      </c>
      <c r="I239" s="109">
        <f t="shared" si="37"/>
        <v>23.313610000000001</v>
      </c>
      <c r="J239" s="111">
        <f>0.49683+3.28657</f>
        <v>3.7834000000000003</v>
      </c>
      <c r="K239" s="111">
        <f>16.96342+2.56679</f>
        <v>19.53021</v>
      </c>
      <c r="L239" s="13">
        <f t="shared" si="40"/>
        <v>99.98520396653781</v>
      </c>
      <c r="M239" s="13">
        <v>100</v>
      </c>
      <c r="N239" s="53" t="s">
        <v>320</v>
      </c>
      <c r="O239" s="2">
        <v>56</v>
      </c>
      <c r="P239" s="50" t="s">
        <v>340</v>
      </c>
      <c r="Q239" s="154"/>
    </row>
    <row r="240" spans="1:19" ht="23.25" x14ac:dyDescent="0.25">
      <c r="A240" s="3"/>
      <c r="B240" s="47" t="s">
        <v>342</v>
      </c>
      <c r="C240" s="109">
        <f t="shared" si="20"/>
        <v>24.362780000000001</v>
      </c>
      <c r="D240" s="111">
        <f>1.22741+7.36627</f>
        <v>8.5936799999999991</v>
      </c>
      <c r="E240" s="110">
        <v>15.7691</v>
      </c>
      <c r="F240" s="109">
        <f t="shared" si="21"/>
        <v>24.362780000000001</v>
      </c>
      <c r="G240" s="111"/>
      <c r="H240" s="110">
        <v>24.362780000000001</v>
      </c>
      <c r="I240" s="109">
        <f t="shared" si="37"/>
        <v>23.653659999999999</v>
      </c>
      <c r="J240" s="111">
        <f>1.22741+7.36627</f>
        <v>8.5936799999999991</v>
      </c>
      <c r="K240" s="111">
        <f>12.90973+2.15025</f>
        <v>15.059979999999999</v>
      </c>
      <c r="L240" s="13">
        <f t="shared" si="40"/>
        <v>97.089330527961081</v>
      </c>
      <c r="M240" s="13">
        <v>100</v>
      </c>
      <c r="N240" s="53" t="s">
        <v>320</v>
      </c>
      <c r="O240" s="2">
        <v>56</v>
      </c>
      <c r="P240" s="50" t="s">
        <v>340</v>
      </c>
      <c r="Q240" s="154"/>
    </row>
    <row r="241" spans="1:18" ht="67.5" x14ac:dyDescent="0.25">
      <c r="A241" s="3"/>
      <c r="B241" s="52" t="s">
        <v>343</v>
      </c>
      <c r="C241" s="109">
        <f t="shared" si="20"/>
        <v>14.56645</v>
      </c>
      <c r="D241" s="111"/>
      <c r="E241" s="133">
        <v>14.56645</v>
      </c>
      <c r="F241" s="109">
        <f t="shared" si="21"/>
        <v>25.12</v>
      </c>
      <c r="G241" s="111"/>
      <c r="H241" s="110">
        <v>25.12</v>
      </c>
      <c r="I241" s="109">
        <f t="shared" si="37"/>
        <v>14.07451</v>
      </c>
      <c r="J241" s="111"/>
      <c r="K241" s="111">
        <f>1.0393+6.02981+2.92629+0.30806+0.77199+1.55406+0.93538+0.19596+0.31366</f>
        <v>14.07451</v>
      </c>
      <c r="L241" s="13">
        <f t="shared" si="40"/>
        <v>96.622787295463212</v>
      </c>
      <c r="M241" s="13">
        <v>100</v>
      </c>
      <c r="N241" s="69" t="s">
        <v>344</v>
      </c>
      <c r="O241" s="2" t="s">
        <v>345</v>
      </c>
      <c r="P241" s="60" t="s">
        <v>346</v>
      </c>
    </row>
    <row r="242" spans="1:18" ht="67.5" x14ac:dyDescent="0.25">
      <c r="A242" s="3"/>
      <c r="B242" s="52" t="s">
        <v>347</v>
      </c>
      <c r="C242" s="109">
        <f t="shared" si="20"/>
        <v>0.4</v>
      </c>
      <c r="D242" s="111"/>
      <c r="E242" s="133">
        <v>0.4</v>
      </c>
      <c r="F242" s="109">
        <f t="shared" si="21"/>
        <v>0.4</v>
      </c>
      <c r="G242" s="111"/>
      <c r="H242" s="110">
        <v>0.4</v>
      </c>
      <c r="I242" s="109">
        <f t="shared" si="37"/>
        <v>0</v>
      </c>
      <c r="J242" s="111"/>
      <c r="K242" s="111"/>
      <c r="L242" s="13">
        <f t="shared" si="40"/>
        <v>0</v>
      </c>
      <c r="M242" s="13">
        <v>100</v>
      </c>
      <c r="N242" s="69" t="s">
        <v>348</v>
      </c>
      <c r="O242" s="2" t="s">
        <v>349</v>
      </c>
      <c r="P242" s="60" t="s">
        <v>346</v>
      </c>
    </row>
    <row r="243" spans="1:18" ht="90" x14ac:dyDescent="0.25">
      <c r="A243" s="3"/>
      <c r="B243" s="60" t="s">
        <v>806</v>
      </c>
      <c r="C243" s="109">
        <f t="shared" si="20"/>
        <v>64.650069999999999</v>
      </c>
      <c r="D243" s="111">
        <f>8.40015+4.74806</f>
        <v>13.148209999999999</v>
      </c>
      <c r="E243" s="110">
        <v>51.501860000000001</v>
      </c>
      <c r="F243" s="109">
        <f t="shared" si="21"/>
        <v>64.650069999999999</v>
      </c>
      <c r="G243" s="111"/>
      <c r="H243" s="110">
        <v>64.650069999999999</v>
      </c>
      <c r="I243" s="109">
        <f t="shared" si="37"/>
        <v>64.650069999999999</v>
      </c>
      <c r="J243" s="111">
        <f>8.40015+4.74806</f>
        <v>13.148209999999999</v>
      </c>
      <c r="K243" s="111">
        <f>12.239+15.67166+9.7882+6.91792+6.88508</f>
        <v>51.501860000000001</v>
      </c>
      <c r="L243" s="13">
        <f t="shared" si="40"/>
        <v>100</v>
      </c>
      <c r="M243" s="13">
        <v>100</v>
      </c>
      <c r="N243" s="69" t="s">
        <v>350</v>
      </c>
      <c r="O243" s="2" t="s">
        <v>351</v>
      </c>
      <c r="P243" s="60" t="s">
        <v>352</v>
      </c>
      <c r="Q243" s="154"/>
    </row>
    <row r="244" spans="1:18" ht="78.75" x14ac:dyDescent="0.25">
      <c r="A244" s="3"/>
      <c r="B244" s="60" t="s">
        <v>807</v>
      </c>
      <c r="C244" s="109">
        <f t="shared" si="20"/>
        <v>19.59957</v>
      </c>
      <c r="D244" s="111"/>
      <c r="E244" s="133">
        <v>19.59957</v>
      </c>
      <c r="F244" s="109">
        <f t="shared" si="21"/>
        <v>19.59957</v>
      </c>
      <c r="G244" s="111"/>
      <c r="H244" s="133">
        <v>19.59957</v>
      </c>
      <c r="I244" s="109">
        <f t="shared" si="37"/>
        <v>0</v>
      </c>
      <c r="J244" s="111"/>
      <c r="K244" s="111"/>
      <c r="L244" s="13">
        <f t="shared" si="40"/>
        <v>0</v>
      </c>
      <c r="M244" s="13">
        <v>100</v>
      </c>
      <c r="N244" s="69" t="s">
        <v>353</v>
      </c>
      <c r="O244" s="2" t="s">
        <v>354</v>
      </c>
      <c r="P244" s="60" t="s">
        <v>355</v>
      </c>
      <c r="R244" s="121"/>
    </row>
    <row r="245" spans="1:18" s="102" customFormat="1" ht="90" x14ac:dyDescent="0.25">
      <c r="A245" s="3"/>
      <c r="B245" s="52" t="s">
        <v>808</v>
      </c>
      <c r="C245" s="109">
        <f t="shared" si="20"/>
        <v>156.36749</v>
      </c>
      <c r="D245" s="111">
        <f>0.44352+4.0118</f>
        <v>4.4553200000000004</v>
      </c>
      <c r="E245" s="111">
        <f>13.00452+16.77804+16.2092+1.33502+1.44495+13.72521+8.27999+8.25434+14.09583+8.66334+8.66396+17.34485+14.46005+0.85597+0.7419+0.85597+0.83579+0.91289+0.83442+0.72238+0.76108+1.80326+0.54085+0.25915+0.52921</f>
        <v>151.91217</v>
      </c>
      <c r="F245" s="109">
        <f t="shared" si="21"/>
        <v>156.36749</v>
      </c>
      <c r="G245" s="111">
        <f>0.44352+4.0118</f>
        <v>4.4553200000000004</v>
      </c>
      <c r="H245" s="111">
        <f>13.00452+16.77804+16.2092+1.33502+1.44495+13.72521+8.27999+8.25434+14.09583+8.66334+8.66396+17.34485+14.46005+0.85597+0.7419+0.85597+0.83579+0.91289+0.83442+0.72238+0.76108+1.80326+0.54085+0.25915+0.52921</f>
        <v>151.91217</v>
      </c>
      <c r="I245" s="109">
        <f t="shared" si="37"/>
        <v>156.36749</v>
      </c>
      <c r="J245" s="111">
        <f>0.44352+4.0118</f>
        <v>4.4553200000000004</v>
      </c>
      <c r="K245" s="111">
        <f>13.00452+16.77804+16.2092+1.33502+1.44495+13.72521+8.27999+8.25434+14.09583+8.66334+8.66396+17.34485+14.46005+0.85597+0.7419+0.85597+0.83579+0.91289+0.83442+0.72238+0.76108+1.80326+0.54085+0.25915+0.52921</f>
        <v>151.91217</v>
      </c>
      <c r="L245" s="13">
        <f t="shared" si="40"/>
        <v>100</v>
      </c>
      <c r="M245" s="13">
        <v>100</v>
      </c>
      <c r="N245" s="53" t="s">
        <v>740</v>
      </c>
      <c r="O245" s="2">
        <v>59</v>
      </c>
      <c r="P245" s="48" t="s">
        <v>356</v>
      </c>
      <c r="Q245" s="156"/>
    </row>
    <row r="246" spans="1:18" ht="78.75" x14ac:dyDescent="0.25">
      <c r="A246" s="3"/>
      <c r="B246" s="63" t="s">
        <v>809</v>
      </c>
      <c r="C246" s="109">
        <f t="shared" si="20"/>
        <v>29.389679999999998</v>
      </c>
      <c r="D246" s="111"/>
      <c r="E246" s="110">
        <v>29.389679999999998</v>
      </c>
      <c r="F246" s="109">
        <f t="shared" si="21"/>
        <v>29.389679999999998</v>
      </c>
      <c r="G246" s="111"/>
      <c r="H246" s="110">
        <v>29.389679999999998</v>
      </c>
      <c r="I246" s="109">
        <f t="shared" si="37"/>
        <v>19.586869999999998</v>
      </c>
      <c r="J246" s="111"/>
      <c r="K246" s="111">
        <f>9.79014+9.79673</f>
        <v>19.586869999999998</v>
      </c>
      <c r="L246" s="13">
        <f t="shared" si="40"/>
        <v>66.645400698476465</v>
      </c>
      <c r="M246" s="13">
        <v>100</v>
      </c>
      <c r="N246" s="69" t="s">
        <v>357</v>
      </c>
      <c r="O246" s="2">
        <v>62</v>
      </c>
      <c r="P246" s="60" t="s">
        <v>358</v>
      </c>
    </row>
    <row r="247" spans="1:18" ht="56.25" x14ac:dyDescent="0.25">
      <c r="A247" s="3"/>
      <c r="B247" s="63" t="s">
        <v>810</v>
      </c>
      <c r="C247" s="109">
        <f t="shared" ref="C247:C314" si="41">D247+E247</f>
        <v>15.50976</v>
      </c>
      <c r="D247" s="111"/>
      <c r="E247" s="110">
        <v>15.50976</v>
      </c>
      <c r="F247" s="109">
        <f t="shared" ref="F247:F313" si="42">G247+H247</f>
        <v>15.50976</v>
      </c>
      <c r="G247" s="111"/>
      <c r="H247" s="110">
        <v>15.50976</v>
      </c>
      <c r="I247" s="109">
        <f t="shared" ref="H247:I313" si="43">J247+K247</f>
        <v>15.50976</v>
      </c>
      <c r="J247" s="111"/>
      <c r="K247" s="111">
        <v>15.50976</v>
      </c>
      <c r="L247" s="13">
        <f t="shared" si="40"/>
        <v>100</v>
      </c>
      <c r="M247" s="13">
        <v>100</v>
      </c>
      <c r="N247" s="69" t="s">
        <v>359</v>
      </c>
      <c r="O247" s="2" t="s">
        <v>360</v>
      </c>
      <c r="P247" s="60" t="s">
        <v>358</v>
      </c>
    </row>
    <row r="248" spans="1:18" ht="45" x14ac:dyDescent="0.25">
      <c r="A248" s="3"/>
      <c r="B248" s="63" t="s">
        <v>361</v>
      </c>
      <c r="C248" s="109">
        <f t="shared" si="41"/>
        <v>8.3029299999999999</v>
      </c>
      <c r="D248" s="111"/>
      <c r="E248" s="109">
        <f t="shared" ref="E248" si="44">F248+G248</f>
        <v>8.3029299999999999</v>
      </c>
      <c r="F248" s="109">
        <f t="shared" si="42"/>
        <v>8.3029299999999999</v>
      </c>
      <c r="G248" s="111"/>
      <c r="H248" s="110">
        <v>8.3029299999999999</v>
      </c>
      <c r="I248" s="109">
        <f t="shared" si="43"/>
        <v>8.0610999999999997</v>
      </c>
      <c r="J248" s="111"/>
      <c r="K248" s="111">
        <v>8.0610999999999997</v>
      </c>
      <c r="L248" s="13">
        <f t="shared" si="40"/>
        <v>97.087413720216844</v>
      </c>
      <c r="M248" s="13">
        <v>100</v>
      </c>
      <c r="N248" s="69" t="s">
        <v>362</v>
      </c>
      <c r="O248" s="2" t="s">
        <v>363</v>
      </c>
      <c r="P248" s="97" t="s">
        <v>364</v>
      </c>
    </row>
    <row r="249" spans="1:18" ht="33.75" x14ac:dyDescent="0.25">
      <c r="A249" s="3"/>
      <c r="B249" s="101" t="s">
        <v>533</v>
      </c>
      <c r="C249" s="109">
        <f t="shared" si="41"/>
        <v>17.49503</v>
      </c>
      <c r="D249" s="111"/>
      <c r="E249" s="111">
        <f>0.87475+16.62028</f>
        <v>17.49503</v>
      </c>
      <c r="F249" s="109">
        <f t="shared" si="42"/>
        <v>17.49503</v>
      </c>
      <c r="G249" s="111"/>
      <c r="H249" s="111">
        <f>0.87475+16.62028</f>
        <v>17.49503</v>
      </c>
      <c r="I249" s="109">
        <f t="shared" si="43"/>
        <v>17.49503</v>
      </c>
      <c r="J249" s="111"/>
      <c r="K249" s="111">
        <f>0.87475+16.62028</f>
        <v>17.49503</v>
      </c>
      <c r="L249" s="13">
        <f t="shared" si="40"/>
        <v>100</v>
      </c>
      <c r="M249" s="13">
        <v>100</v>
      </c>
      <c r="N249" s="69" t="s">
        <v>741</v>
      </c>
      <c r="O249" s="2" t="s">
        <v>525</v>
      </c>
      <c r="P249" s="101" t="s">
        <v>526</v>
      </c>
    </row>
    <row r="250" spans="1:18" ht="33.75" x14ac:dyDescent="0.25">
      <c r="A250" s="3"/>
      <c r="B250" s="101" t="s">
        <v>534</v>
      </c>
      <c r="C250" s="109">
        <f t="shared" si="41"/>
        <v>9.5089199999999998</v>
      </c>
      <c r="D250" s="111"/>
      <c r="E250" s="111">
        <f>0.47545+9.03347</f>
        <v>9.5089199999999998</v>
      </c>
      <c r="F250" s="109">
        <f t="shared" si="42"/>
        <v>9.5089199999999998</v>
      </c>
      <c r="G250" s="111"/>
      <c r="H250" s="111">
        <f>0.47545+9.03347</f>
        <v>9.5089199999999998</v>
      </c>
      <c r="I250" s="109">
        <f t="shared" si="43"/>
        <v>9.5089199999999998</v>
      </c>
      <c r="J250" s="111"/>
      <c r="K250" s="111">
        <f>0.47545+9.03347</f>
        <v>9.5089199999999998</v>
      </c>
      <c r="L250" s="13">
        <f t="shared" si="40"/>
        <v>100</v>
      </c>
      <c r="M250" s="13">
        <v>100</v>
      </c>
      <c r="N250" s="69" t="s">
        <v>741</v>
      </c>
      <c r="O250" s="2" t="s">
        <v>527</v>
      </c>
      <c r="P250" s="101" t="s">
        <v>526</v>
      </c>
    </row>
    <row r="251" spans="1:18" ht="33.75" x14ac:dyDescent="0.25">
      <c r="A251" s="3"/>
      <c r="B251" s="101" t="s">
        <v>535</v>
      </c>
      <c r="C251" s="109">
        <f t="shared" si="41"/>
        <v>27.167749999999998</v>
      </c>
      <c r="D251" s="111">
        <v>11.71111</v>
      </c>
      <c r="E251" s="110">
        <v>15.45664</v>
      </c>
      <c r="F251" s="109">
        <f t="shared" si="42"/>
        <v>27.167749999999998</v>
      </c>
      <c r="G251" s="111">
        <v>11.71111</v>
      </c>
      <c r="H251" s="110">
        <v>15.45664</v>
      </c>
      <c r="I251" s="109">
        <f t="shared" si="43"/>
        <v>27.052599999999998</v>
      </c>
      <c r="J251" s="111">
        <f>0.52312+11.07669+0.06</f>
        <v>11.65981</v>
      </c>
      <c r="K251" s="111">
        <f>0.76951+14.62328</f>
        <v>15.39279</v>
      </c>
      <c r="L251" s="13">
        <f t="shared" si="40"/>
        <v>99.576151871244406</v>
      </c>
      <c r="M251" s="13">
        <v>100</v>
      </c>
      <c r="N251" s="69" t="s">
        <v>741</v>
      </c>
      <c r="O251" s="2" t="s">
        <v>528</v>
      </c>
      <c r="P251" s="101" t="s">
        <v>526</v>
      </c>
    </row>
    <row r="252" spans="1:18" ht="33.75" x14ac:dyDescent="0.25">
      <c r="A252" s="3"/>
      <c r="B252" s="101" t="s">
        <v>532</v>
      </c>
      <c r="C252" s="109">
        <f t="shared" si="41"/>
        <v>38.599599999999995</v>
      </c>
      <c r="D252" s="111">
        <f>0.96482+18.33516</f>
        <v>19.299979999999998</v>
      </c>
      <c r="E252" s="110">
        <v>19.299620000000001</v>
      </c>
      <c r="F252" s="109">
        <f t="shared" si="42"/>
        <v>38.599600000000002</v>
      </c>
      <c r="G252" s="111"/>
      <c r="H252" s="110">
        <v>38.599600000000002</v>
      </c>
      <c r="I252" s="109">
        <f t="shared" si="43"/>
        <v>38.454219999999992</v>
      </c>
      <c r="J252" s="111">
        <f>0.96482+18.33516</f>
        <v>19.299979999999998</v>
      </c>
      <c r="K252" s="111">
        <f>0.95789+18.19635</f>
        <v>19.154239999999998</v>
      </c>
      <c r="L252" s="13">
        <f t="shared" si="40"/>
        <v>99.623363972683649</v>
      </c>
      <c r="M252" s="13">
        <v>100</v>
      </c>
      <c r="N252" s="69" t="s">
        <v>741</v>
      </c>
      <c r="O252" s="2">
        <v>75</v>
      </c>
      <c r="P252" s="101" t="s">
        <v>526</v>
      </c>
      <c r="Q252" s="154"/>
    </row>
    <row r="253" spans="1:18" ht="33.75" x14ac:dyDescent="0.25">
      <c r="A253" s="3"/>
      <c r="B253" s="101" t="s">
        <v>531</v>
      </c>
      <c r="C253" s="109">
        <f t="shared" si="41"/>
        <v>11.521929999999999</v>
      </c>
      <c r="D253" s="111"/>
      <c r="E253" s="109">
        <f t="shared" ref="E253" si="45">F253+G253</f>
        <v>11.521929999999999</v>
      </c>
      <c r="F253" s="109">
        <f t="shared" si="42"/>
        <v>11.521929999999999</v>
      </c>
      <c r="G253" s="111"/>
      <c r="H253" s="109">
        <f t="shared" si="43"/>
        <v>11.521929999999999</v>
      </c>
      <c r="I253" s="109">
        <f t="shared" si="43"/>
        <v>11.521929999999999</v>
      </c>
      <c r="J253" s="111"/>
      <c r="K253" s="111">
        <v>11.521929999999999</v>
      </c>
      <c r="L253" s="13">
        <f t="shared" si="40"/>
        <v>100</v>
      </c>
      <c r="M253" s="13">
        <v>100</v>
      </c>
      <c r="N253" s="69" t="s">
        <v>742</v>
      </c>
      <c r="O253" s="2" t="s">
        <v>529</v>
      </c>
      <c r="P253" s="101" t="s">
        <v>530</v>
      </c>
    </row>
    <row r="254" spans="1:18" ht="45" x14ac:dyDescent="0.25">
      <c r="A254" s="3"/>
      <c r="B254" s="63" t="s">
        <v>595</v>
      </c>
      <c r="C254" s="109">
        <f t="shared" si="41"/>
        <v>9.8002199999999995</v>
      </c>
      <c r="D254" s="111"/>
      <c r="E254" s="111">
        <v>9.8002199999999995</v>
      </c>
      <c r="F254" s="109">
        <f t="shared" si="42"/>
        <v>9.8002199999999995</v>
      </c>
      <c r="G254" s="111"/>
      <c r="H254" s="111">
        <v>9.8002199999999995</v>
      </c>
      <c r="I254" s="109">
        <f t="shared" si="43"/>
        <v>9.8002199999999995</v>
      </c>
      <c r="J254" s="111"/>
      <c r="K254" s="111">
        <v>9.8002199999999995</v>
      </c>
      <c r="L254" s="13">
        <f t="shared" si="40"/>
        <v>100</v>
      </c>
      <c r="M254" s="13">
        <v>100</v>
      </c>
      <c r="N254" s="69" t="s">
        <v>743</v>
      </c>
      <c r="O254" s="2" t="s">
        <v>597</v>
      </c>
      <c r="P254" s="101" t="s">
        <v>596</v>
      </c>
    </row>
    <row r="255" spans="1:18" ht="56.25" x14ac:dyDescent="0.25">
      <c r="A255" s="3"/>
      <c r="B255" s="143" t="s">
        <v>811</v>
      </c>
      <c r="C255" s="109">
        <f t="shared" si="41"/>
        <v>0.4</v>
      </c>
      <c r="D255" s="111"/>
      <c r="E255" s="110">
        <v>0.4</v>
      </c>
      <c r="F255" s="109">
        <f t="shared" si="42"/>
        <v>0.4</v>
      </c>
      <c r="G255" s="111"/>
      <c r="H255" s="110">
        <v>0.4</v>
      </c>
      <c r="I255" s="109">
        <f t="shared" si="43"/>
        <v>0</v>
      </c>
      <c r="J255" s="111"/>
      <c r="K255" s="111"/>
      <c r="L255" s="13">
        <f t="shared" si="40"/>
        <v>0</v>
      </c>
      <c r="M255" s="13">
        <v>100</v>
      </c>
      <c r="N255" s="69" t="s">
        <v>683</v>
      </c>
      <c r="O255" s="2">
        <v>81</v>
      </c>
      <c r="P255" s="143" t="s">
        <v>669</v>
      </c>
    </row>
    <row r="256" spans="1:18" x14ac:dyDescent="0.25">
      <c r="A256" s="3"/>
      <c r="B256" s="143" t="s">
        <v>755</v>
      </c>
      <c r="C256" s="109"/>
      <c r="D256" s="111">
        <v>1.8877999999999999</v>
      </c>
      <c r="E256" s="110">
        <v>32.168849999999999</v>
      </c>
      <c r="F256" s="109"/>
      <c r="G256" s="111"/>
      <c r="H256" s="110"/>
      <c r="I256" s="109"/>
      <c r="J256" s="111"/>
      <c r="K256" s="111"/>
      <c r="L256" s="13"/>
      <c r="M256" s="13"/>
      <c r="N256" s="69"/>
      <c r="O256" s="2"/>
      <c r="P256" s="143"/>
    </row>
    <row r="257" spans="1:19" x14ac:dyDescent="0.25">
      <c r="A257" s="22"/>
      <c r="B257" s="81" t="s">
        <v>27</v>
      </c>
      <c r="C257" s="109">
        <f t="shared" si="41"/>
        <v>780.70100999999988</v>
      </c>
      <c r="D257" s="109">
        <f>SUM(D222:D256)</f>
        <v>101.2097</v>
      </c>
      <c r="E257" s="109">
        <f>SUM(E222:E256)</f>
        <v>679.49130999999988</v>
      </c>
      <c r="F257" s="109">
        <f t="shared" si="42"/>
        <v>756.16814999999997</v>
      </c>
      <c r="G257" s="109">
        <f>SUM(G222:G255)</f>
        <v>39.9636</v>
      </c>
      <c r="H257" s="109">
        <f>SUM(H222:H255)</f>
        <v>716.20454999999993</v>
      </c>
      <c r="I257" s="109">
        <f t="shared" si="43"/>
        <v>703.73271999999997</v>
      </c>
      <c r="J257" s="109">
        <f>SUM(J222:J255)</f>
        <v>98.638929999999988</v>
      </c>
      <c r="K257" s="109">
        <f>SUM(K222:K255)</f>
        <v>605.09379000000001</v>
      </c>
      <c r="L257" s="13">
        <f>I257/C257*100</f>
        <v>90.14113098175703</v>
      </c>
      <c r="M257" s="13"/>
      <c r="N257" s="36"/>
      <c r="O257" s="112">
        <f>J257-98.63893</f>
        <v>0</v>
      </c>
      <c r="P257" s="112">
        <f>K257-605.09379</f>
        <v>0</v>
      </c>
      <c r="R257" s="121"/>
      <c r="S257" s="121"/>
    </row>
    <row r="258" spans="1:19" x14ac:dyDescent="0.25">
      <c r="A258" s="22"/>
      <c r="B258" s="81"/>
      <c r="C258" s="109"/>
      <c r="D258" s="109"/>
      <c r="E258" s="109"/>
      <c r="F258" s="109"/>
      <c r="G258" s="109"/>
      <c r="H258" s="109"/>
      <c r="I258" s="109"/>
      <c r="J258" s="109"/>
      <c r="K258" s="109"/>
      <c r="L258" s="13"/>
      <c r="M258" s="13"/>
      <c r="N258" s="36"/>
      <c r="O258" s="23"/>
      <c r="P258" s="23"/>
    </row>
    <row r="259" spans="1:19" ht="22.5" x14ac:dyDescent="0.25">
      <c r="A259" s="22" t="s">
        <v>365</v>
      </c>
      <c r="B259" s="71" t="s">
        <v>366</v>
      </c>
      <c r="C259" s="109"/>
      <c r="D259" s="113"/>
      <c r="E259" s="113"/>
      <c r="F259" s="109"/>
      <c r="G259" s="109"/>
      <c r="H259" s="134"/>
      <c r="I259" s="109"/>
      <c r="J259" s="109"/>
      <c r="K259" s="109"/>
      <c r="L259" s="13"/>
      <c r="M259" s="13"/>
      <c r="N259" s="10"/>
      <c r="O259" s="10"/>
      <c r="P259" s="11"/>
    </row>
    <row r="260" spans="1:19" ht="78.75" x14ac:dyDescent="0.25">
      <c r="A260" s="3"/>
      <c r="B260" s="33" t="s">
        <v>367</v>
      </c>
      <c r="C260" s="109">
        <f t="shared" si="41"/>
        <v>89.153999999999996</v>
      </c>
      <c r="D260" s="117">
        <v>89.153999999999996</v>
      </c>
      <c r="E260" s="117"/>
      <c r="F260" s="109">
        <f t="shared" si="42"/>
        <v>118.872</v>
      </c>
      <c r="G260" s="117">
        <v>118.872</v>
      </c>
      <c r="H260" s="116"/>
      <c r="I260" s="109">
        <f t="shared" si="43"/>
        <v>75.135999999999996</v>
      </c>
      <c r="J260" s="116">
        <f>10.526+10.526+43.558+10.526</f>
        <v>75.135999999999996</v>
      </c>
      <c r="K260" s="111"/>
      <c r="L260" s="13">
        <f>I260/C260*100</f>
        <v>84.276644906566162</v>
      </c>
      <c r="M260" s="13"/>
      <c r="N260" s="38" t="s">
        <v>106</v>
      </c>
      <c r="O260" s="62">
        <v>159</v>
      </c>
      <c r="P260" s="39" t="s">
        <v>368</v>
      </c>
    </row>
    <row r="261" spans="1:19" ht="67.5" x14ac:dyDescent="0.25">
      <c r="A261" s="3"/>
      <c r="B261" s="50" t="s">
        <v>369</v>
      </c>
      <c r="C261" s="109">
        <f t="shared" si="41"/>
        <v>360.846</v>
      </c>
      <c r="D261" s="109">
        <v>360.846</v>
      </c>
      <c r="E261" s="109"/>
      <c r="F261" s="109">
        <f t="shared" si="42"/>
        <v>481.12799999999999</v>
      </c>
      <c r="G261" s="109">
        <v>481.12799999999999</v>
      </c>
      <c r="H261" s="116"/>
      <c r="I261" s="109">
        <f t="shared" si="43"/>
        <v>320.75200000000001</v>
      </c>
      <c r="J261" s="116">
        <f>40.094+40.094+200.47+40.094</f>
        <v>320.75200000000001</v>
      </c>
      <c r="K261" s="111"/>
      <c r="L261" s="13">
        <f>I261/C261*100</f>
        <v>88.8888888888889</v>
      </c>
      <c r="M261" s="13"/>
      <c r="N261" s="2" t="s">
        <v>370</v>
      </c>
      <c r="O261" s="40" t="s">
        <v>371</v>
      </c>
      <c r="P261" s="39" t="s">
        <v>368</v>
      </c>
    </row>
    <row r="262" spans="1:19" ht="56.25" x14ac:dyDescent="0.25">
      <c r="A262" s="3"/>
      <c r="B262" s="50" t="s">
        <v>372</v>
      </c>
      <c r="C262" s="109">
        <f t="shared" si="41"/>
        <v>0.44</v>
      </c>
      <c r="D262" s="116">
        <v>0.44</v>
      </c>
      <c r="E262" s="109"/>
      <c r="F262" s="109">
        <f t="shared" si="42"/>
        <v>0.44</v>
      </c>
      <c r="G262" s="116">
        <v>0.44</v>
      </c>
      <c r="H262" s="116"/>
      <c r="I262" s="109">
        <f t="shared" si="43"/>
        <v>0.44</v>
      </c>
      <c r="J262" s="116">
        <v>0.44</v>
      </c>
      <c r="K262" s="111"/>
      <c r="L262" s="13">
        <f>I262/C262*100</f>
        <v>100</v>
      </c>
      <c r="M262" s="13"/>
      <c r="N262" s="2" t="s">
        <v>744</v>
      </c>
      <c r="O262" s="40" t="s">
        <v>373</v>
      </c>
      <c r="P262" s="50" t="s">
        <v>374</v>
      </c>
    </row>
    <row r="263" spans="1:19" ht="90" x14ac:dyDescent="0.25">
      <c r="A263" s="3"/>
      <c r="B263" s="100" t="s">
        <v>536</v>
      </c>
      <c r="C263" s="109">
        <f t="shared" si="41"/>
        <v>55.569000000000003</v>
      </c>
      <c r="D263" s="116">
        <v>55.569000000000003</v>
      </c>
      <c r="E263" s="109"/>
      <c r="F263" s="109">
        <f t="shared" si="42"/>
        <v>55.568280000000001</v>
      </c>
      <c r="G263" s="116">
        <v>55.568280000000001</v>
      </c>
      <c r="H263" s="116"/>
      <c r="I263" s="109">
        <f t="shared" si="43"/>
        <v>27.784140000000001</v>
      </c>
      <c r="J263" s="116">
        <v>27.784140000000001</v>
      </c>
      <c r="K263" s="111"/>
      <c r="L263" s="13">
        <f>I263/C263*100</f>
        <v>49.999352156778059</v>
      </c>
      <c r="M263" s="13"/>
      <c r="N263" s="2"/>
      <c r="O263" s="40"/>
      <c r="P263" s="101" t="s">
        <v>773</v>
      </c>
    </row>
    <row r="264" spans="1:19" x14ac:dyDescent="0.25">
      <c r="A264" s="22"/>
      <c r="B264" s="169" t="s">
        <v>27</v>
      </c>
      <c r="C264" s="109">
        <f t="shared" si="41"/>
        <v>506.00900000000001</v>
      </c>
      <c r="D264" s="139">
        <f>SUM(D260:D263)</f>
        <v>506.00900000000001</v>
      </c>
      <c r="E264" s="139">
        <v>0</v>
      </c>
      <c r="F264" s="109">
        <f t="shared" si="42"/>
        <v>600.44000000000005</v>
      </c>
      <c r="G264" s="139">
        <v>600.44000000000005</v>
      </c>
      <c r="H264" s="139">
        <v>0</v>
      </c>
      <c r="I264" s="109">
        <f t="shared" si="43"/>
        <v>424.11214000000001</v>
      </c>
      <c r="J264" s="139">
        <f>SUM(J260:J263)</f>
        <v>424.11214000000001</v>
      </c>
      <c r="K264" s="139">
        <f>SUM(K260:K263)</f>
        <v>0</v>
      </c>
      <c r="L264" s="13">
        <f>I264/C264*100</f>
        <v>83.815137675416835</v>
      </c>
      <c r="M264" s="13"/>
      <c r="N264" s="36"/>
      <c r="O264" s="23"/>
      <c r="P264" s="23"/>
    </row>
    <row r="265" spans="1:19" x14ac:dyDescent="0.25">
      <c r="A265" s="22"/>
      <c r="B265" s="169"/>
      <c r="C265" s="109"/>
      <c r="D265" s="139"/>
      <c r="E265" s="139"/>
      <c r="F265" s="109"/>
      <c r="G265" s="139"/>
      <c r="H265" s="139"/>
      <c r="I265" s="109"/>
      <c r="J265" s="139"/>
      <c r="K265" s="139"/>
      <c r="L265" s="13"/>
      <c r="M265" s="13"/>
      <c r="N265" s="36"/>
      <c r="O265" s="23"/>
      <c r="P265" s="23"/>
      <c r="Q265" s="154"/>
    </row>
    <row r="266" spans="1:19" ht="23.25" x14ac:dyDescent="0.25">
      <c r="A266" s="22" t="s">
        <v>375</v>
      </c>
      <c r="B266" s="170" t="s">
        <v>376</v>
      </c>
      <c r="C266" s="109"/>
      <c r="D266" s="113"/>
      <c r="E266" s="113"/>
      <c r="F266" s="109"/>
      <c r="G266" s="109"/>
      <c r="H266" s="134"/>
      <c r="I266" s="109"/>
      <c r="J266" s="109"/>
      <c r="K266" s="109"/>
      <c r="L266" s="13"/>
      <c r="M266" s="13"/>
      <c r="N266" s="10"/>
      <c r="O266" s="10"/>
      <c r="P266" s="11"/>
    </row>
    <row r="267" spans="1:19" ht="78.75" x14ac:dyDescent="0.25">
      <c r="A267" s="22"/>
      <c r="B267" s="61" t="s">
        <v>812</v>
      </c>
      <c r="C267" s="109">
        <f t="shared" si="41"/>
        <v>6.28</v>
      </c>
      <c r="D267" s="114">
        <v>6.28</v>
      </c>
      <c r="E267" s="114"/>
      <c r="F267" s="109">
        <f t="shared" si="42"/>
        <v>6.16038</v>
      </c>
      <c r="G267" s="114">
        <v>6.16038</v>
      </c>
      <c r="H267" s="114"/>
      <c r="I267" s="109">
        <f t="shared" si="43"/>
        <v>6.1589600000000004</v>
      </c>
      <c r="J267" s="114">
        <v>6.1589600000000004</v>
      </c>
      <c r="K267" s="114"/>
      <c r="L267" s="13">
        <f>I267/C267*100</f>
        <v>98.072611464968148</v>
      </c>
      <c r="M267" s="13">
        <v>100</v>
      </c>
      <c r="N267" s="16" t="s">
        <v>293</v>
      </c>
      <c r="O267" s="2" t="s">
        <v>377</v>
      </c>
      <c r="P267" s="32" t="s">
        <v>378</v>
      </c>
    </row>
    <row r="268" spans="1:19" x14ac:dyDescent="0.25">
      <c r="A268" s="22"/>
      <c r="B268" s="163" t="s">
        <v>27</v>
      </c>
      <c r="C268" s="109">
        <f t="shared" si="41"/>
        <v>6.28</v>
      </c>
      <c r="D268" s="139">
        <v>6.28</v>
      </c>
      <c r="E268" s="139">
        <v>0</v>
      </c>
      <c r="F268" s="109">
        <f t="shared" si="42"/>
        <v>6.16038</v>
      </c>
      <c r="G268" s="139">
        <v>6.16038</v>
      </c>
      <c r="H268" s="139">
        <v>0</v>
      </c>
      <c r="I268" s="109">
        <f t="shared" si="43"/>
        <v>6.1589600000000004</v>
      </c>
      <c r="J268" s="139">
        <f>SUM(J267)</f>
        <v>6.1589600000000004</v>
      </c>
      <c r="K268" s="139">
        <f>SUM(K267)</f>
        <v>0</v>
      </c>
      <c r="L268" s="13">
        <f>I268/C268*100</f>
        <v>98.072611464968148</v>
      </c>
      <c r="M268" s="13"/>
      <c r="N268" s="36"/>
      <c r="O268" s="23"/>
      <c r="P268" s="23"/>
    </row>
    <row r="269" spans="1:19" x14ac:dyDescent="0.25">
      <c r="A269" s="22"/>
      <c r="B269" s="163"/>
      <c r="C269" s="109"/>
      <c r="D269" s="139"/>
      <c r="E269" s="139"/>
      <c r="F269" s="109"/>
      <c r="G269" s="139"/>
      <c r="H269" s="139"/>
      <c r="I269" s="109"/>
      <c r="J269" s="139"/>
      <c r="K269" s="139"/>
      <c r="L269" s="13"/>
      <c r="M269" s="13"/>
      <c r="N269" s="36"/>
      <c r="O269" s="23"/>
      <c r="P269" s="23"/>
    </row>
    <row r="270" spans="1:19" ht="22.5" x14ac:dyDescent="0.25">
      <c r="A270" s="22"/>
      <c r="B270" s="171" t="s">
        <v>379</v>
      </c>
      <c r="C270" s="109"/>
      <c r="D270" s="114"/>
      <c r="E270" s="114"/>
      <c r="F270" s="109"/>
      <c r="G270" s="114"/>
      <c r="H270" s="114"/>
      <c r="I270" s="109"/>
      <c r="J270" s="114"/>
      <c r="K270" s="114"/>
      <c r="L270" s="13"/>
      <c r="M270" s="13"/>
      <c r="N270" s="12"/>
      <c r="O270" s="7"/>
      <c r="P270" s="41"/>
    </row>
    <row r="271" spans="1:19" ht="33.75" x14ac:dyDescent="0.25">
      <c r="A271" s="3"/>
      <c r="B271" s="172" t="s">
        <v>380</v>
      </c>
      <c r="C271" s="109">
        <f t="shared" si="41"/>
        <v>97.6</v>
      </c>
      <c r="D271" s="114">
        <v>97.6</v>
      </c>
      <c r="E271" s="114"/>
      <c r="F271" s="109">
        <f t="shared" si="42"/>
        <v>97.6</v>
      </c>
      <c r="G271" s="114">
        <v>97.6</v>
      </c>
      <c r="H271" s="114"/>
      <c r="I271" s="109">
        <f t="shared" si="43"/>
        <v>97.6</v>
      </c>
      <c r="J271" s="114">
        <v>97.6</v>
      </c>
      <c r="K271" s="114"/>
      <c r="L271" s="13">
        <f>I271/C271*100</f>
        <v>100</v>
      </c>
      <c r="M271" s="13"/>
      <c r="N271" s="16" t="s">
        <v>381</v>
      </c>
      <c r="O271" s="2">
        <v>38</v>
      </c>
      <c r="P271" s="98" t="s">
        <v>382</v>
      </c>
    </row>
    <row r="272" spans="1:19" x14ac:dyDescent="0.25">
      <c r="A272" s="22"/>
      <c r="B272" s="171"/>
      <c r="C272" s="109"/>
      <c r="D272" s="114"/>
      <c r="E272" s="114"/>
      <c r="F272" s="109"/>
      <c r="G272" s="114"/>
      <c r="H272" s="114"/>
      <c r="I272" s="109"/>
      <c r="J272" s="114"/>
      <c r="K272" s="114"/>
      <c r="L272" s="13"/>
      <c r="M272" s="13"/>
      <c r="N272" s="12"/>
      <c r="O272" s="7"/>
      <c r="P272" s="41"/>
    </row>
    <row r="273" spans="1:17" ht="45" x14ac:dyDescent="0.25">
      <c r="A273" s="22" t="s">
        <v>383</v>
      </c>
      <c r="B273" s="71" t="s">
        <v>384</v>
      </c>
      <c r="C273" s="109"/>
      <c r="D273" s="113"/>
      <c r="E273" s="113"/>
      <c r="F273" s="109"/>
      <c r="G273" s="109"/>
      <c r="H273" s="134"/>
      <c r="I273" s="109"/>
      <c r="J273" s="109"/>
      <c r="K273" s="109"/>
      <c r="L273" s="13"/>
      <c r="M273" s="13"/>
      <c r="N273" s="10"/>
      <c r="O273" s="10"/>
      <c r="P273" s="11"/>
    </row>
    <row r="274" spans="1:17" ht="45" x14ac:dyDescent="0.25">
      <c r="A274" s="3"/>
      <c r="B274" s="61" t="s">
        <v>385</v>
      </c>
      <c r="C274" s="109">
        <f t="shared" si="41"/>
        <v>1.7509999999999999</v>
      </c>
      <c r="D274" s="130">
        <v>1.7509999999999999</v>
      </c>
      <c r="E274" s="117"/>
      <c r="F274" s="109">
        <f t="shared" si="42"/>
        <v>1.7509999999999999</v>
      </c>
      <c r="G274" s="130">
        <v>1.7509999999999999</v>
      </c>
      <c r="H274" s="117"/>
      <c r="I274" s="109">
        <f t="shared" si="43"/>
        <v>0</v>
      </c>
      <c r="J274" s="117"/>
      <c r="K274" s="111"/>
      <c r="L274" s="13">
        <f t="shared" ref="L274:L291" si="46">I274/C274*100</f>
        <v>0</v>
      </c>
      <c r="M274" s="13">
        <v>100</v>
      </c>
      <c r="N274" s="16" t="s">
        <v>386</v>
      </c>
      <c r="O274" s="18">
        <v>5</v>
      </c>
      <c r="P274" s="21" t="s">
        <v>387</v>
      </c>
    </row>
    <row r="275" spans="1:17" ht="67.5" x14ac:dyDescent="0.25">
      <c r="A275" s="3"/>
      <c r="B275" s="61" t="s">
        <v>388</v>
      </c>
      <c r="C275" s="109">
        <f t="shared" si="41"/>
        <v>4.0999999999999996</v>
      </c>
      <c r="D275" s="118">
        <v>4.0999999999999996</v>
      </c>
      <c r="E275" s="118"/>
      <c r="F275" s="109">
        <f t="shared" si="42"/>
        <v>6.44</v>
      </c>
      <c r="G275" s="118">
        <v>6.44</v>
      </c>
      <c r="H275" s="118"/>
      <c r="I275" s="109">
        <f t="shared" si="43"/>
        <v>2.76</v>
      </c>
      <c r="J275" s="118">
        <f>0.782+1.978</f>
        <v>2.76</v>
      </c>
      <c r="K275" s="111"/>
      <c r="L275" s="13">
        <f t="shared" si="46"/>
        <v>67.317073170731717</v>
      </c>
      <c r="M275" s="13"/>
      <c r="N275" s="16" t="s">
        <v>389</v>
      </c>
      <c r="O275" s="18" t="s">
        <v>390</v>
      </c>
      <c r="P275" s="42" t="s">
        <v>391</v>
      </c>
    </row>
    <row r="276" spans="1:17" ht="67.5" x14ac:dyDescent="0.25">
      <c r="A276" s="3"/>
      <c r="B276" s="61" t="s">
        <v>392</v>
      </c>
      <c r="C276" s="109">
        <f t="shared" si="41"/>
        <v>4.0999999999999996</v>
      </c>
      <c r="D276" s="118">
        <v>4.0999999999999996</v>
      </c>
      <c r="E276" s="118"/>
      <c r="F276" s="109">
        <f t="shared" si="42"/>
        <v>6.16</v>
      </c>
      <c r="G276" s="118">
        <v>6.16</v>
      </c>
      <c r="H276" s="118"/>
      <c r="I276" s="109">
        <f t="shared" si="43"/>
        <v>2.7719999999999998</v>
      </c>
      <c r="J276" s="118">
        <f>0.88+1.892</f>
        <v>2.7719999999999998</v>
      </c>
      <c r="K276" s="111"/>
      <c r="L276" s="13">
        <f t="shared" si="46"/>
        <v>67.609756097560975</v>
      </c>
      <c r="M276" s="13"/>
      <c r="N276" s="16" t="s">
        <v>389</v>
      </c>
      <c r="O276" s="18">
        <v>26</v>
      </c>
      <c r="P276" s="21" t="s">
        <v>393</v>
      </c>
    </row>
    <row r="277" spans="1:17" ht="51" x14ac:dyDescent="0.25">
      <c r="A277" s="3"/>
      <c r="B277" s="61" t="s">
        <v>395</v>
      </c>
      <c r="C277" s="109">
        <f t="shared" si="41"/>
        <v>76.314089999999993</v>
      </c>
      <c r="D277" s="118">
        <v>76.314089999999993</v>
      </c>
      <c r="E277" s="118"/>
      <c r="F277" s="109">
        <f t="shared" si="42"/>
        <v>76.314089999999993</v>
      </c>
      <c r="G277" s="118">
        <v>76.314089999999993</v>
      </c>
      <c r="H277" s="118"/>
      <c r="I277" s="109">
        <f t="shared" si="43"/>
        <v>57.185000000000002</v>
      </c>
      <c r="J277" s="118">
        <f>28.45895+28.72605</f>
        <v>57.185000000000002</v>
      </c>
      <c r="K277" s="111"/>
      <c r="L277" s="13">
        <f t="shared" si="46"/>
        <v>74.933737662337336</v>
      </c>
      <c r="M277" s="13">
        <v>100</v>
      </c>
      <c r="N277" s="15" t="s">
        <v>396</v>
      </c>
      <c r="O277" s="18" t="s">
        <v>397</v>
      </c>
      <c r="P277" s="21" t="s">
        <v>398</v>
      </c>
    </row>
    <row r="278" spans="1:17" ht="90" x14ac:dyDescent="0.25">
      <c r="A278" s="3"/>
      <c r="B278" s="32" t="s">
        <v>813</v>
      </c>
      <c r="C278" s="109">
        <f t="shared" si="41"/>
        <v>3.12</v>
      </c>
      <c r="D278" s="118">
        <v>3.12</v>
      </c>
      <c r="E278" s="118"/>
      <c r="F278" s="109">
        <f t="shared" si="42"/>
        <v>7.28</v>
      </c>
      <c r="G278" s="118">
        <v>7.28</v>
      </c>
      <c r="H278" s="118"/>
      <c r="I278" s="109">
        <f t="shared" si="43"/>
        <v>2.8079999999999998</v>
      </c>
      <c r="J278" s="118">
        <f>0.988+1.82</f>
        <v>2.8079999999999998</v>
      </c>
      <c r="K278" s="111"/>
      <c r="L278" s="13">
        <f t="shared" si="46"/>
        <v>89.999999999999986</v>
      </c>
      <c r="M278" s="13"/>
      <c r="N278" s="43" t="s">
        <v>394</v>
      </c>
      <c r="O278" s="44" t="s">
        <v>401</v>
      </c>
      <c r="P278" s="50" t="s">
        <v>402</v>
      </c>
    </row>
    <row r="279" spans="1:17" ht="67.5" x14ac:dyDescent="0.25">
      <c r="A279" s="3"/>
      <c r="B279" s="59" t="s">
        <v>264</v>
      </c>
      <c r="C279" s="109">
        <f t="shared" si="41"/>
        <v>7</v>
      </c>
      <c r="D279" s="118">
        <v>7</v>
      </c>
      <c r="E279" s="118"/>
      <c r="F279" s="109">
        <f t="shared" si="42"/>
        <v>7</v>
      </c>
      <c r="G279" s="118">
        <v>7</v>
      </c>
      <c r="H279" s="118"/>
      <c r="I279" s="109">
        <f t="shared" si="43"/>
        <v>6.6792600000000002</v>
      </c>
      <c r="J279" s="118">
        <v>6.6792600000000002</v>
      </c>
      <c r="K279" s="111"/>
      <c r="L279" s="13">
        <f t="shared" si="46"/>
        <v>95.418000000000006</v>
      </c>
      <c r="M279" s="13"/>
      <c r="N279" s="43" t="s">
        <v>684</v>
      </c>
      <c r="O279" s="44" t="s">
        <v>76</v>
      </c>
      <c r="P279" s="50" t="s">
        <v>74</v>
      </c>
    </row>
    <row r="280" spans="1:17" ht="67.5" x14ac:dyDescent="0.25">
      <c r="A280" s="3"/>
      <c r="B280" s="59" t="s">
        <v>264</v>
      </c>
      <c r="C280" s="109">
        <f t="shared" si="41"/>
        <v>2.1000000000000001E-2</v>
      </c>
      <c r="D280" s="118">
        <v>2.1000000000000001E-2</v>
      </c>
      <c r="E280" s="118"/>
      <c r="F280" s="109">
        <f t="shared" si="42"/>
        <v>2.1000000000000001E-2</v>
      </c>
      <c r="G280" s="118">
        <v>2.1000000000000001E-2</v>
      </c>
      <c r="H280" s="118"/>
      <c r="I280" s="109">
        <f t="shared" si="43"/>
        <v>2.086E-2</v>
      </c>
      <c r="J280" s="118">
        <v>2.086E-2</v>
      </c>
      <c r="K280" s="111"/>
      <c r="L280" s="13">
        <f t="shared" si="46"/>
        <v>99.333333333333329</v>
      </c>
      <c r="M280" s="13"/>
      <c r="N280" s="43" t="s">
        <v>73</v>
      </c>
      <c r="O280" s="44" t="s">
        <v>158</v>
      </c>
      <c r="P280" s="50" t="s">
        <v>74</v>
      </c>
    </row>
    <row r="281" spans="1:17" ht="45" x14ac:dyDescent="0.25">
      <c r="A281" s="3"/>
      <c r="B281" s="32" t="s">
        <v>385</v>
      </c>
      <c r="C281" s="109">
        <f t="shared" si="41"/>
        <v>12.089840000000001</v>
      </c>
      <c r="D281" s="118">
        <v>12.089840000000001</v>
      </c>
      <c r="E281" s="118"/>
      <c r="F281" s="109">
        <f t="shared" si="42"/>
        <v>12.089840000000001</v>
      </c>
      <c r="G281" s="118">
        <v>12.089840000000001</v>
      </c>
      <c r="H281" s="118"/>
      <c r="I281" s="109">
        <f t="shared" si="43"/>
        <v>12.089840000000001</v>
      </c>
      <c r="J281" s="118">
        <v>12.089840000000001</v>
      </c>
      <c r="K281" s="111"/>
      <c r="L281" s="13">
        <f t="shared" si="46"/>
        <v>100</v>
      </c>
      <c r="M281" s="13"/>
      <c r="N281" s="43" t="s">
        <v>403</v>
      </c>
      <c r="O281" s="44" t="s">
        <v>404</v>
      </c>
      <c r="P281" s="32" t="s">
        <v>405</v>
      </c>
    </row>
    <row r="282" spans="1:17" ht="45" x14ac:dyDescent="0.25">
      <c r="A282" s="3"/>
      <c r="B282" s="100" t="s">
        <v>537</v>
      </c>
      <c r="C282" s="109">
        <f t="shared" si="41"/>
        <v>40.302419999999998</v>
      </c>
      <c r="D282" s="118">
        <v>40.302419999999998</v>
      </c>
      <c r="E282" s="118"/>
      <c r="F282" s="109">
        <f t="shared" si="42"/>
        <v>40.302419999999998</v>
      </c>
      <c r="G282" s="118">
        <v>40.302419999999998</v>
      </c>
      <c r="H282" s="118"/>
      <c r="I282" s="109">
        <f t="shared" si="43"/>
        <v>37.501730000000002</v>
      </c>
      <c r="J282" s="118">
        <f>32.10173+5.4</f>
        <v>37.501730000000002</v>
      </c>
      <c r="K282" s="111"/>
      <c r="L282" s="13">
        <f t="shared" si="46"/>
        <v>93.050814318346156</v>
      </c>
      <c r="M282" s="13">
        <v>100</v>
      </c>
      <c r="N282" s="43" t="s">
        <v>685</v>
      </c>
      <c r="O282" s="44" t="s">
        <v>538</v>
      </c>
      <c r="P282" s="32" t="s">
        <v>303</v>
      </c>
    </row>
    <row r="283" spans="1:17" s="102" customFormat="1" ht="33.75" x14ac:dyDescent="0.25">
      <c r="A283" s="3"/>
      <c r="B283" s="136" t="s">
        <v>601</v>
      </c>
      <c r="C283" s="109">
        <f t="shared" si="41"/>
        <v>105.21299999999999</v>
      </c>
      <c r="D283" s="111">
        <v>105.21299999999999</v>
      </c>
      <c r="E283" s="111"/>
      <c r="F283" s="109">
        <f t="shared" si="42"/>
        <v>282.87900000000002</v>
      </c>
      <c r="G283" s="111">
        <v>282.87900000000002</v>
      </c>
      <c r="H283" s="111"/>
      <c r="I283" s="109">
        <f t="shared" si="43"/>
        <v>105.21299999999999</v>
      </c>
      <c r="J283" s="111">
        <f>43.426+56.574+5.213</f>
        <v>105.21299999999999</v>
      </c>
      <c r="K283" s="111"/>
      <c r="L283" s="13">
        <f t="shared" si="46"/>
        <v>100</v>
      </c>
      <c r="M283" s="13">
        <v>50</v>
      </c>
      <c r="N283" s="2" t="s">
        <v>686</v>
      </c>
      <c r="O283" s="45" t="s">
        <v>539</v>
      </c>
      <c r="P283" s="47" t="s">
        <v>540</v>
      </c>
      <c r="Q283" s="156"/>
    </row>
    <row r="284" spans="1:17" s="102" customFormat="1" ht="33.75" x14ac:dyDescent="0.25">
      <c r="A284" s="3"/>
      <c r="B284" s="136" t="s">
        <v>559</v>
      </c>
      <c r="C284" s="109">
        <f t="shared" si="41"/>
        <v>70</v>
      </c>
      <c r="D284" s="111">
        <v>70</v>
      </c>
      <c r="E284" s="111"/>
      <c r="F284" s="109">
        <f t="shared" si="42"/>
        <v>258.89800000000002</v>
      </c>
      <c r="G284" s="111">
        <v>258.89800000000002</v>
      </c>
      <c r="H284" s="111"/>
      <c r="I284" s="109">
        <f t="shared" si="43"/>
        <v>51.779600000000002</v>
      </c>
      <c r="J284" s="111">
        <v>51.779600000000002</v>
      </c>
      <c r="K284" s="111"/>
      <c r="L284" s="13">
        <f t="shared" si="46"/>
        <v>73.970857142857156</v>
      </c>
      <c r="M284" s="13">
        <v>50</v>
      </c>
      <c r="N284" s="2" t="s">
        <v>687</v>
      </c>
      <c r="O284" s="45" t="s">
        <v>561</v>
      </c>
      <c r="P284" s="47" t="s">
        <v>540</v>
      </c>
      <c r="Q284" s="156"/>
    </row>
    <row r="285" spans="1:17" s="102" customFormat="1" ht="33.75" x14ac:dyDescent="0.25">
      <c r="A285" s="3"/>
      <c r="B285" s="136" t="s">
        <v>562</v>
      </c>
      <c r="C285" s="109">
        <f t="shared" si="41"/>
        <v>5</v>
      </c>
      <c r="D285" s="111">
        <v>5</v>
      </c>
      <c r="E285" s="111"/>
      <c r="F285" s="109">
        <f t="shared" si="42"/>
        <v>11.52732</v>
      </c>
      <c r="G285" s="111">
        <v>11.52732</v>
      </c>
      <c r="H285" s="111"/>
      <c r="I285" s="109">
        <f t="shared" si="43"/>
        <v>2.3054600000000001</v>
      </c>
      <c r="J285" s="111">
        <v>2.3054600000000001</v>
      </c>
      <c r="K285" s="111"/>
      <c r="L285" s="13">
        <f t="shared" si="46"/>
        <v>46.109200000000001</v>
      </c>
      <c r="M285" s="13">
        <v>90</v>
      </c>
      <c r="N285" s="2" t="s">
        <v>688</v>
      </c>
      <c r="O285" s="45" t="s">
        <v>566</v>
      </c>
      <c r="P285" s="47" t="s">
        <v>303</v>
      </c>
      <c r="Q285" s="156"/>
    </row>
    <row r="286" spans="1:17" s="102" customFormat="1" ht="33.75" x14ac:dyDescent="0.25">
      <c r="A286" s="3"/>
      <c r="B286" s="136" t="s">
        <v>563</v>
      </c>
      <c r="C286" s="109">
        <f t="shared" si="41"/>
        <v>5</v>
      </c>
      <c r="D286" s="111">
        <v>5</v>
      </c>
      <c r="E286" s="111"/>
      <c r="F286" s="109">
        <f t="shared" si="42"/>
        <v>12.42773</v>
      </c>
      <c r="G286" s="111">
        <v>12.42773</v>
      </c>
      <c r="H286" s="111"/>
      <c r="I286" s="109">
        <f t="shared" si="43"/>
        <v>2.4855399999999999</v>
      </c>
      <c r="J286" s="111">
        <v>2.4855399999999999</v>
      </c>
      <c r="K286" s="111"/>
      <c r="L286" s="13">
        <f t="shared" si="46"/>
        <v>49.710799999999999</v>
      </c>
      <c r="M286" s="13">
        <v>100</v>
      </c>
      <c r="N286" s="2" t="s">
        <v>565</v>
      </c>
      <c r="O286" s="45" t="s">
        <v>566</v>
      </c>
      <c r="P286" s="47" t="s">
        <v>303</v>
      </c>
      <c r="Q286" s="156"/>
    </row>
    <row r="287" spans="1:17" s="102" customFormat="1" ht="33.75" x14ac:dyDescent="0.25">
      <c r="A287" s="3"/>
      <c r="B287" s="136" t="s">
        <v>564</v>
      </c>
      <c r="C287" s="109">
        <f t="shared" si="41"/>
        <v>6</v>
      </c>
      <c r="D287" s="111">
        <v>6</v>
      </c>
      <c r="E287" s="111"/>
      <c r="F287" s="109">
        <f t="shared" si="42"/>
        <v>13.097860000000001</v>
      </c>
      <c r="G287" s="111">
        <v>13.097860000000001</v>
      </c>
      <c r="H287" s="111"/>
      <c r="I287" s="109">
        <f t="shared" si="43"/>
        <v>2.6190000000000002</v>
      </c>
      <c r="J287" s="111">
        <v>2.6190000000000002</v>
      </c>
      <c r="K287" s="111"/>
      <c r="L287" s="13">
        <f t="shared" si="46"/>
        <v>43.650000000000006</v>
      </c>
      <c r="M287" s="13">
        <v>100</v>
      </c>
      <c r="N287" s="2" t="s">
        <v>565</v>
      </c>
      <c r="O287" s="45" t="s">
        <v>566</v>
      </c>
      <c r="P287" s="47" t="s">
        <v>303</v>
      </c>
      <c r="Q287" s="156"/>
    </row>
    <row r="288" spans="1:17" s="102" customFormat="1" ht="33.75" x14ac:dyDescent="0.25">
      <c r="A288" s="3"/>
      <c r="B288" s="101" t="s">
        <v>598</v>
      </c>
      <c r="C288" s="109">
        <f t="shared" si="41"/>
        <v>15.459989999999999</v>
      </c>
      <c r="D288" s="111">
        <v>15.459989999999999</v>
      </c>
      <c r="E288" s="111"/>
      <c r="F288" s="109">
        <f t="shared" si="42"/>
        <v>55.459989999999998</v>
      </c>
      <c r="G288" s="111">
        <v>55.459989999999998</v>
      </c>
      <c r="H288" s="111"/>
      <c r="I288" s="109">
        <f t="shared" si="43"/>
        <v>11.090999999999999</v>
      </c>
      <c r="J288" s="111">
        <v>11.090999999999999</v>
      </c>
      <c r="K288" s="111"/>
      <c r="L288" s="13">
        <f t="shared" si="46"/>
        <v>71.740020530414313</v>
      </c>
      <c r="M288" s="13"/>
      <c r="N288" s="2" t="s">
        <v>689</v>
      </c>
      <c r="O288" s="45" t="s">
        <v>599</v>
      </c>
      <c r="P288" s="47" t="s">
        <v>600</v>
      </c>
      <c r="Q288" s="156"/>
    </row>
    <row r="289" spans="1:18" s="102" customFormat="1" ht="85.5" customHeight="1" x14ac:dyDescent="0.25">
      <c r="A289" s="3"/>
      <c r="B289" s="61" t="s">
        <v>774</v>
      </c>
      <c r="C289" s="109">
        <f t="shared" si="41"/>
        <v>17.363350000000001</v>
      </c>
      <c r="D289" s="111">
        <v>17.363350000000001</v>
      </c>
      <c r="E289" s="111"/>
      <c r="F289" s="109">
        <f t="shared" si="42"/>
        <v>17.363350000000001</v>
      </c>
      <c r="G289" s="111">
        <v>17.363350000000001</v>
      </c>
      <c r="H289" s="111"/>
      <c r="I289" s="109">
        <f t="shared" si="43"/>
        <v>17.363350000000001</v>
      </c>
      <c r="J289" s="111">
        <v>17.363350000000001</v>
      </c>
      <c r="K289" s="111"/>
      <c r="L289" s="13">
        <f t="shared" si="46"/>
        <v>100</v>
      </c>
      <c r="M289" s="13"/>
      <c r="N289" s="2" t="s">
        <v>241</v>
      </c>
      <c r="O289" s="2">
        <v>4</v>
      </c>
      <c r="P289" s="21" t="s">
        <v>243</v>
      </c>
      <c r="Q289" s="156"/>
    </row>
    <row r="290" spans="1:18" s="102" customFormat="1" ht="56.25" x14ac:dyDescent="0.25">
      <c r="A290" s="3"/>
      <c r="B290" s="144" t="s">
        <v>721</v>
      </c>
      <c r="C290" s="109">
        <f t="shared" si="41"/>
        <v>26.379940000000001</v>
      </c>
      <c r="D290" s="111">
        <v>26.379940000000001</v>
      </c>
      <c r="E290" s="111"/>
      <c r="F290" s="109">
        <f t="shared" si="42"/>
        <v>126.37994</v>
      </c>
      <c r="G290" s="111">
        <v>126.37994</v>
      </c>
      <c r="H290" s="111"/>
      <c r="I290" s="109"/>
      <c r="J290" s="111"/>
      <c r="K290" s="111"/>
      <c r="L290" s="13">
        <f t="shared" si="46"/>
        <v>0</v>
      </c>
      <c r="M290" s="13"/>
      <c r="N290" s="2" t="s">
        <v>723</v>
      </c>
      <c r="O290" s="2" t="s">
        <v>720</v>
      </c>
      <c r="P290" s="144" t="s">
        <v>722</v>
      </c>
      <c r="Q290" s="156"/>
    </row>
    <row r="291" spans="1:18" s="102" customFormat="1" ht="45" x14ac:dyDescent="0.25">
      <c r="A291" s="3"/>
      <c r="B291" s="144" t="s">
        <v>814</v>
      </c>
      <c r="C291" s="109">
        <f t="shared" si="41"/>
        <v>15</v>
      </c>
      <c r="D291" s="111">
        <v>15</v>
      </c>
      <c r="E291" s="111"/>
      <c r="F291" s="109">
        <f t="shared" si="42"/>
        <v>65.784999999999997</v>
      </c>
      <c r="G291" s="111">
        <v>65.784999999999997</v>
      </c>
      <c r="H291" s="111"/>
      <c r="I291" s="109"/>
      <c r="J291" s="111"/>
      <c r="K291" s="111"/>
      <c r="L291" s="13">
        <f t="shared" si="46"/>
        <v>0</v>
      </c>
      <c r="M291" s="13"/>
      <c r="N291" s="2" t="s">
        <v>725</v>
      </c>
      <c r="O291" s="2" t="s">
        <v>724</v>
      </c>
      <c r="P291" s="144" t="s">
        <v>722</v>
      </c>
      <c r="Q291" s="156"/>
    </row>
    <row r="292" spans="1:18" s="102" customFormat="1" ht="19.5" x14ac:dyDescent="0.25">
      <c r="A292" s="3"/>
      <c r="B292" s="85" t="s">
        <v>399</v>
      </c>
      <c r="C292" s="109">
        <f t="shared" ref="C292:C295" si="47">D292+E292</f>
        <v>6.2E-4</v>
      </c>
      <c r="D292" s="118"/>
      <c r="E292" s="112">
        <v>6.2E-4</v>
      </c>
      <c r="F292" s="109">
        <f t="shared" ref="F292:F295" si="48">G292+H292</f>
        <v>0</v>
      </c>
      <c r="G292" s="118"/>
      <c r="H292" s="112"/>
      <c r="I292" s="109">
        <f t="shared" ref="I292:I295" si="49">J292+K292</f>
        <v>0</v>
      </c>
      <c r="J292" s="118"/>
      <c r="K292" s="111"/>
      <c r="L292" s="13">
        <f t="shared" ref="L292:L295" si="50">I292/C292*100</f>
        <v>0</v>
      </c>
      <c r="M292" s="13"/>
      <c r="N292" s="2"/>
      <c r="O292" s="2"/>
      <c r="P292" s="144"/>
      <c r="Q292" s="156"/>
    </row>
    <row r="293" spans="1:18" s="102" customFormat="1" x14ac:dyDescent="0.25">
      <c r="A293" s="3"/>
      <c r="B293" s="32" t="s">
        <v>400</v>
      </c>
      <c r="C293" s="109">
        <f t="shared" si="47"/>
        <v>3.4533700000000001</v>
      </c>
      <c r="D293" s="118">
        <v>3.4533700000000001</v>
      </c>
      <c r="E293" s="118"/>
      <c r="F293" s="109">
        <f t="shared" si="48"/>
        <v>0</v>
      </c>
      <c r="G293" s="118"/>
      <c r="H293" s="118"/>
      <c r="I293" s="109">
        <f t="shared" si="49"/>
        <v>0</v>
      </c>
      <c r="J293" s="118"/>
      <c r="K293" s="111"/>
      <c r="L293" s="13">
        <f t="shared" si="50"/>
        <v>0</v>
      </c>
      <c r="M293" s="13"/>
      <c r="N293" s="2"/>
      <c r="O293" s="2"/>
      <c r="P293" s="144"/>
      <c r="Q293" s="156"/>
    </row>
    <row r="294" spans="1:18" s="102" customFormat="1" x14ac:dyDescent="0.25">
      <c r="A294" s="3"/>
      <c r="B294" s="32" t="s">
        <v>406</v>
      </c>
      <c r="C294" s="109">
        <f t="shared" si="47"/>
        <v>3.6829999999999998</v>
      </c>
      <c r="D294" s="118"/>
      <c r="E294" s="118">
        <v>3.6829999999999998</v>
      </c>
      <c r="F294" s="109">
        <f t="shared" si="48"/>
        <v>0</v>
      </c>
      <c r="G294" s="118"/>
      <c r="H294" s="118"/>
      <c r="I294" s="109">
        <f t="shared" si="49"/>
        <v>0</v>
      </c>
      <c r="J294" s="118"/>
      <c r="K294" s="111"/>
      <c r="L294" s="13">
        <f t="shared" si="50"/>
        <v>0</v>
      </c>
      <c r="M294" s="13"/>
      <c r="N294" s="2"/>
      <c r="O294" s="2"/>
      <c r="P294" s="144"/>
      <c r="Q294" s="156"/>
    </row>
    <row r="295" spans="1:18" s="102" customFormat="1" x14ac:dyDescent="0.25">
      <c r="A295" s="3"/>
      <c r="B295" s="32" t="s">
        <v>183</v>
      </c>
      <c r="C295" s="109">
        <f t="shared" si="47"/>
        <v>7.9000000000000001E-4</v>
      </c>
      <c r="D295" s="118"/>
      <c r="E295" s="118">
        <v>7.9000000000000001E-4</v>
      </c>
      <c r="F295" s="109">
        <f t="shared" si="48"/>
        <v>0</v>
      </c>
      <c r="G295" s="118"/>
      <c r="H295" s="118"/>
      <c r="I295" s="109">
        <f t="shared" si="49"/>
        <v>0</v>
      </c>
      <c r="J295" s="118"/>
      <c r="K295" s="111"/>
      <c r="L295" s="13">
        <f t="shared" si="50"/>
        <v>0</v>
      </c>
      <c r="M295" s="13"/>
      <c r="N295" s="2"/>
      <c r="O295" s="2"/>
      <c r="P295" s="144"/>
      <c r="Q295" s="156"/>
    </row>
    <row r="296" spans="1:18" x14ac:dyDescent="0.25">
      <c r="A296" s="22"/>
      <c r="B296" s="170" t="s">
        <v>27</v>
      </c>
      <c r="C296" s="109">
        <f t="shared" si="41"/>
        <v>421.35241000000002</v>
      </c>
      <c r="D296" s="118">
        <f>SUM(D274:D295)</f>
        <v>417.66800000000001</v>
      </c>
      <c r="E296" s="118">
        <f>SUM(E274:E295)</f>
        <v>3.6844099999999997</v>
      </c>
      <c r="F296" s="118">
        <f>SUM(F274:F291)</f>
        <v>1001.1765399999999</v>
      </c>
      <c r="G296" s="118">
        <f>SUM(G274:G291)</f>
        <v>1001.1765399999999</v>
      </c>
      <c r="H296" s="118">
        <f>SUM(H274:H289)</f>
        <v>0</v>
      </c>
      <c r="I296" s="118">
        <f>SUM(I274:I289)</f>
        <v>314.67364000000003</v>
      </c>
      <c r="J296" s="118">
        <f>SUM(J274:J289)</f>
        <v>314.67364000000003</v>
      </c>
      <c r="K296" s="118">
        <f>SUM(K274:K289)</f>
        <v>0</v>
      </c>
      <c r="L296" s="13">
        <f>I296/C296*100</f>
        <v>74.681818005977476</v>
      </c>
      <c r="M296" s="13"/>
      <c r="N296" s="36"/>
      <c r="O296" s="112"/>
      <c r="P296" s="23"/>
    </row>
    <row r="297" spans="1:18" x14ac:dyDescent="0.25">
      <c r="A297" s="22"/>
      <c r="B297" s="170"/>
      <c r="C297" s="109"/>
      <c r="D297" s="118"/>
      <c r="E297" s="118"/>
      <c r="F297" s="109"/>
      <c r="G297" s="118"/>
      <c r="H297" s="118"/>
      <c r="I297" s="109"/>
      <c r="J297" s="118"/>
      <c r="K297" s="118"/>
      <c r="L297" s="13"/>
      <c r="M297" s="13"/>
      <c r="N297" s="36"/>
      <c r="O297" s="23"/>
      <c r="P297" s="23"/>
      <c r="Q297" s="154"/>
    </row>
    <row r="298" spans="1:18" ht="56.25" x14ac:dyDescent="0.25">
      <c r="A298" s="22" t="s">
        <v>407</v>
      </c>
      <c r="B298" s="81" t="s">
        <v>408</v>
      </c>
      <c r="C298" s="109"/>
      <c r="D298" s="113"/>
      <c r="E298" s="113"/>
      <c r="F298" s="109"/>
      <c r="G298" s="109"/>
      <c r="H298" s="134"/>
      <c r="I298" s="109"/>
      <c r="J298" s="109"/>
      <c r="K298" s="109"/>
      <c r="L298" s="13"/>
      <c r="M298" s="13"/>
      <c r="N298" s="10"/>
      <c r="O298" s="10"/>
      <c r="P298" s="11"/>
    </row>
    <row r="299" spans="1:18" ht="45" x14ac:dyDescent="0.25">
      <c r="A299" s="3"/>
      <c r="B299" s="63" t="s">
        <v>409</v>
      </c>
      <c r="C299" s="109">
        <f t="shared" si="41"/>
        <v>35.135370000000002</v>
      </c>
      <c r="D299" s="109"/>
      <c r="E299" s="111">
        <v>35.135370000000002</v>
      </c>
      <c r="F299" s="109">
        <f t="shared" si="42"/>
        <v>35.135370000000002</v>
      </c>
      <c r="G299" s="109"/>
      <c r="H299" s="111">
        <v>35.135370000000002</v>
      </c>
      <c r="I299" s="109">
        <f t="shared" si="43"/>
        <v>30.092020000000002</v>
      </c>
      <c r="J299" s="111"/>
      <c r="K299" s="111">
        <v>30.092020000000002</v>
      </c>
      <c r="L299" s="13">
        <f t="shared" ref="L299:L310" si="51">I299/C299*100</f>
        <v>85.645945951330532</v>
      </c>
      <c r="M299" s="13">
        <v>100</v>
      </c>
      <c r="N299" s="150" t="s">
        <v>410</v>
      </c>
      <c r="O299" s="49" t="s">
        <v>411</v>
      </c>
      <c r="P299" s="60" t="s">
        <v>412</v>
      </c>
    </row>
    <row r="300" spans="1:18" ht="33.75" x14ac:dyDescent="0.25">
      <c r="A300" s="3"/>
      <c r="B300" s="65" t="s">
        <v>413</v>
      </c>
      <c r="C300" s="109">
        <f t="shared" si="41"/>
        <v>57.856639999999999</v>
      </c>
      <c r="D300" s="109"/>
      <c r="E300" s="109">
        <v>57.856639999999999</v>
      </c>
      <c r="F300" s="109">
        <f t="shared" si="42"/>
        <v>57.856639999999999</v>
      </c>
      <c r="G300" s="109"/>
      <c r="H300" s="118">
        <v>57.856639999999999</v>
      </c>
      <c r="I300" s="109">
        <f t="shared" si="43"/>
        <v>57.856639999999999</v>
      </c>
      <c r="J300" s="111"/>
      <c r="K300" s="111">
        <v>57.856639999999999</v>
      </c>
      <c r="L300" s="13">
        <f t="shared" si="51"/>
        <v>100</v>
      </c>
      <c r="M300" s="13">
        <v>100</v>
      </c>
      <c r="N300" s="55" t="s">
        <v>414</v>
      </c>
      <c r="O300" s="66" t="s">
        <v>415</v>
      </c>
      <c r="P300" s="64" t="s">
        <v>416</v>
      </c>
    </row>
    <row r="301" spans="1:18" ht="33.75" x14ac:dyDescent="0.25">
      <c r="A301" s="3"/>
      <c r="B301" s="63" t="s">
        <v>417</v>
      </c>
      <c r="C301" s="109">
        <f t="shared" si="41"/>
        <v>30.005870000000002</v>
      </c>
      <c r="D301" s="118"/>
      <c r="E301" s="118">
        <v>30.005870000000002</v>
      </c>
      <c r="F301" s="109">
        <f t="shared" si="42"/>
        <v>30.005870000000002</v>
      </c>
      <c r="G301" s="131"/>
      <c r="H301" s="118">
        <v>30.005870000000002</v>
      </c>
      <c r="I301" s="109">
        <f t="shared" si="43"/>
        <v>29.441680000000002</v>
      </c>
      <c r="J301" s="111"/>
      <c r="K301" s="118">
        <v>29.441680000000002</v>
      </c>
      <c r="L301" s="13">
        <f t="shared" si="51"/>
        <v>98.119734571935425</v>
      </c>
      <c r="M301" s="13"/>
      <c r="N301" s="67" t="s">
        <v>418</v>
      </c>
      <c r="O301" s="35" t="s">
        <v>419</v>
      </c>
      <c r="P301" s="6" t="s">
        <v>420</v>
      </c>
      <c r="Q301" s="154"/>
      <c r="R301" s="121"/>
    </row>
    <row r="302" spans="1:18" ht="33.75" x14ac:dyDescent="0.25">
      <c r="A302" s="3"/>
      <c r="B302" s="63" t="s">
        <v>421</v>
      </c>
      <c r="C302" s="109">
        <f t="shared" si="41"/>
        <v>1.44642</v>
      </c>
      <c r="D302" s="111"/>
      <c r="E302" s="111">
        <v>1.44642</v>
      </c>
      <c r="F302" s="109">
        <f t="shared" si="42"/>
        <v>1.44642</v>
      </c>
      <c r="G302" s="111"/>
      <c r="H302" s="111">
        <v>1.44642</v>
      </c>
      <c r="I302" s="109">
        <f t="shared" si="43"/>
        <v>1.44642</v>
      </c>
      <c r="J302" s="111"/>
      <c r="K302" s="111">
        <v>1.44642</v>
      </c>
      <c r="L302" s="13">
        <f t="shared" si="51"/>
        <v>100</v>
      </c>
      <c r="M302" s="13"/>
      <c r="N302" s="67" t="s">
        <v>418</v>
      </c>
      <c r="O302" s="35" t="s">
        <v>419</v>
      </c>
      <c r="P302" s="6" t="s">
        <v>420</v>
      </c>
      <c r="R302" s="121"/>
    </row>
    <row r="303" spans="1:18" ht="33.75" x14ac:dyDescent="0.25">
      <c r="A303" s="3"/>
      <c r="B303" s="63" t="s">
        <v>422</v>
      </c>
      <c r="C303" s="109">
        <f t="shared" si="41"/>
        <v>6.4212300000000004</v>
      </c>
      <c r="D303" s="111"/>
      <c r="E303" s="111">
        <v>6.4212300000000004</v>
      </c>
      <c r="F303" s="109">
        <f t="shared" si="42"/>
        <v>6.4212300000000004</v>
      </c>
      <c r="G303" s="111"/>
      <c r="H303" s="118">
        <v>6.4212300000000004</v>
      </c>
      <c r="I303" s="109">
        <f t="shared" si="43"/>
        <v>6.4212300000000004</v>
      </c>
      <c r="J303" s="111"/>
      <c r="K303" s="111">
        <v>6.4212300000000004</v>
      </c>
      <c r="L303" s="13">
        <f t="shared" si="51"/>
        <v>100</v>
      </c>
      <c r="M303" s="13"/>
      <c r="N303" s="67" t="s">
        <v>418</v>
      </c>
      <c r="O303" s="35" t="s">
        <v>419</v>
      </c>
      <c r="P303" s="6" t="s">
        <v>420</v>
      </c>
      <c r="Q303" s="154"/>
      <c r="R303" s="121"/>
    </row>
    <row r="304" spans="1:18" ht="56.25" x14ac:dyDescent="0.25">
      <c r="A304" s="3"/>
      <c r="B304" s="60" t="s">
        <v>423</v>
      </c>
      <c r="C304" s="109">
        <f t="shared" si="41"/>
        <v>42.455309999999997</v>
      </c>
      <c r="D304" s="118"/>
      <c r="E304" s="111">
        <v>42.455309999999997</v>
      </c>
      <c r="F304" s="109">
        <f t="shared" si="42"/>
        <v>42.455309999999997</v>
      </c>
      <c r="G304" s="131"/>
      <c r="H304" s="111">
        <v>42.455309999999997</v>
      </c>
      <c r="I304" s="109">
        <f t="shared" si="43"/>
        <v>42.455309999999997</v>
      </c>
      <c r="J304" s="111"/>
      <c r="K304" s="111">
        <v>42.455309999999997</v>
      </c>
      <c r="L304" s="13">
        <f t="shared" si="51"/>
        <v>100</v>
      </c>
      <c r="M304" s="13">
        <v>100</v>
      </c>
      <c r="N304" s="55" t="s">
        <v>424</v>
      </c>
      <c r="O304" s="56" t="s">
        <v>425</v>
      </c>
      <c r="P304" s="60" t="s">
        <v>426</v>
      </c>
      <c r="R304" s="121"/>
    </row>
    <row r="305" spans="1:18" ht="45" x14ac:dyDescent="0.25">
      <c r="A305" s="3"/>
      <c r="B305" s="59" t="s">
        <v>427</v>
      </c>
      <c r="C305" s="109">
        <f t="shared" si="41"/>
        <v>21.53876</v>
      </c>
      <c r="D305" s="118"/>
      <c r="E305" s="111">
        <v>21.53876</v>
      </c>
      <c r="F305" s="109">
        <f t="shared" si="42"/>
        <v>63.990929999999999</v>
      </c>
      <c r="G305" s="131"/>
      <c r="H305" s="124">
        <v>63.990929999999999</v>
      </c>
      <c r="I305" s="109">
        <f t="shared" si="43"/>
        <v>21.53876</v>
      </c>
      <c r="J305" s="111"/>
      <c r="K305" s="111">
        <v>21.53876</v>
      </c>
      <c r="L305" s="13">
        <f t="shared" si="51"/>
        <v>100</v>
      </c>
      <c r="M305" s="13">
        <v>100</v>
      </c>
      <c r="N305" s="55" t="s">
        <v>424</v>
      </c>
      <c r="O305" s="66" t="s">
        <v>428</v>
      </c>
      <c r="P305" s="47" t="s">
        <v>429</v>
      </c>
    </row>
    <row r="306" spans="1:18" ht="33.75" x14ac:dyDescent="0.25">
      <c r="A306" s="3"/>
      <c r="B306" s="59" t="s">
        <v>430</v>
      </c>
      <c r="C306" s="109">
        <f t="shared" si="41"/>
        <v>19.713640000000002</v>
      </c>
      <c r="D306" s="118"/>
      <c r="E306" s="111">
        <v>19.713640000000002</v>
      </c>
      <c r="F306" s="109">
        <f t="shared" si="42"/>
        <v>97.735860000000002</v>
      </c>
      <c r="G306" s="131"/>
      <c r="H306" s="124">
        <v>97.735860000000002</v>
      </c>
      <c r="I306" s="109">
        <f t="shared" si="43"/>
        <v>19.713640000000002</v>
      </c>
      <c r="J306" s="111"/>
      <c r="K306" s="111">
        <v>19.713640000000002</v>
      </c>
      <c r="L306" s="13">
        <f t="shared" si="51"/>
        <v>100</v>
      </c>
      <c r="M306" s="13">
        <v>100</v>
      </c>
      <c r="N306" s="55" t="s">
        <v>431</v>
      </c>
      <c r="O306" s="66">
        <v>76</v>
      </c>
      <c r="P306" s="68" t="s">
        <v>416</v>
      </c>
    </row>
    <row r="307" spans="1:18" ht="56.25" x14ac:dyDescent="0.25">
      <c r="A307" s="3"/>
      <c r="B307" s="65" t="s">
        <v>432</v>
      </c>
      <c r="C307" s="109">
        <f t="shared" si="41"/>
        <v>82.148939999999996</v>
      </c>
      <c r="D307" s="118"/>
      <c r="E307" s="111">
        <v>82.148939999999996</v>
      </c>
      <c r="F307" s="109">
        <f t="shared" si="42"/>
        <v>93.316190000000006</v>
      </c>
      <c r="G307" s="131"/>
      <c r="H307" s="114">
        <v>93.316190000000006</v>
      </c>
      <c r="I307" s="109">
        <f t="shared" si="43"/>
        <v>82.148939999999996</v>
      </c>
      <c r="J307" s="111"/>
      <c r="K307" s="111">
        <v>82.148939999999996</v>
      </c>
      <c r="L307" s="13">
        <f t="shared" si="51"/>
        <v>100</v>
      </c>
      <c r="M307" s="13">
        <v>100</v>
      </c>
      <c r="N307" s="55" t="s">
        <v>424</v>
      </c>
      <c r="O307" s="66" t="s">
        <v>433</v>
      </c>
      <c r="P307" s="60" t="s">
        <v>434</v>
      </c>
    </row>
    <row r="308" spans="1:18" ht="56.25" x14ac:dyDescent="0.25">
      <c r="A308" s="3"/>
      <c r="B308" s="63" t="s">
        <v>435</v>
      </c>
      <c r="C308" s="109">
        <f t="shared" si="41"/>
        <v>41.391950000000001</v>
      </c>
      <c r="D308" s="118"/>
      <c r="E308" s="114">
        <v>41.391950000000001</v>
      </c>
      <c r="F308" s="109">
        <f t="shared" si="42"/>
        <v>41.391950000000001</v>
      </c>
      <c r="G308" s="131"/>
      <c r="H308" s="114">
        <v>41.391950000000001</v>
      </c>
      <c r="I308" s="109">
        <f t="shared" si="43"/>
        <v>0</v>
      </c>
      <c r="J308" s="111"/>
      <c r="K308" s="111"/>
      <c r="L308" s="13">
        <f t="shared" si="51"/>
        <v>0</v>
      </c>
      <c r="M308" s="13">
        <v>100</v>
      </c>
      <c r="N308" s="55" t="s">
        <v>436</v>
      </c>
      <c r="O308" s="66" t="s">
        <v>437</v>
      </c>
      <c r="P308" s="60" t="s">
        <v>434</v>
      </c>
    </row>
    <row r="309" spans="1:18" ht="56.25" x14ac:dyDescent="0.25">
      <c r="A309" s="3"/>
      <c r="B309" s="63" t="s">
        <v>438</v>
      </c>
      <c r="C309" s="109">
        <f t="shared" si="41"/>
        <v>87.434309999999996</v>
      </c>
      <c r="D309" s="118"/>
      <c r="E309" s="111">
        <v>87.434309999999996</v>
      </c>
      <c r="F309" s="109">
        <f t="shared" si="42"/>
        <v>87.434309999999996</v>
      </c>
      <c r="G309" s="131"/>
      <c r="H309" s="111">
        <v>87.434309999999996</v>
      </c>
      <c r="I309" s="109">
        <f t="shared" si="43"/>
        <v>87.434309999999996</v>
      </c>
      <c r="J309" s="111"/>
      <c r="K309" s="111">
        <v>87.434309999999996</v>
      </c>
      <c r="L309" s="13">
        <f t="shared" si="51"/>
        <v>100</v>
      </c>
      <c r="M309" s="13">
        <v>100</v>
      </c>
      <c r="N309" s="55" t="s">
        <v>436</v>
      </c>
      <c r="O309" s="66" t="s">
        <v>439</v>
      </c>
      <c r="P309" s="60" t="s">
        <v>434</v>
      </c>
    </row>
    <row r="310" spans="1:18" ht="68.25" x14ac:dyDescent="0.25">
      <c r="A310" s="3"/>
      <c r="B310" s="68" t="s">
        <v>264</v>
      </c>
      <c r="C310" s="109">
        <f t="shared" si="41"/>
        <v>10.884</v>
      </c>
      <c r="D310" s="111">
        <v>10.884</v>
      </c>
      <c r="E310" s="118"/>
      <c r="F310" s="109">
        <f t="shared" si="42"/>
        <v>7.327</v>
      </c>
      <c r="G310" s="131">
        <v>7.327</v>
      </c>
      <c r="H310" s="118"/>
      <c r="I310" s="109">
        <f t="shared" si="43"/>
        <v>7.3262099999999997</v>
      </c>
      <c r="J310" s="111">
        <v>7.3262099999999997</v>
      </c>
      <c r="K310" s="111"/>
      <c r="L310" s="13">
        <f t="shared" si="51"/>
        <v>67.311742006615205</v>
      </c>
      <c r="M310" s="13"/>
      <c r="N310" s="55" t="s">
        <v>265</v>
      </c>
      <c r="O310" s="66" t="s">
        <v>158</v>
      </c>
      <c r="P310" s="84" t="s">
        <v>266</v>
      </c>
    </row>
    <row r="311" spans="1:18" ht="33.75" x14ac:dyDescent="0.25">
      <c r="A311" s="3"/>
      <c r="B311" s="32" t="s">
        <v>574</v>
      </c>
      <c r="C311" s="109">
        <f t="shared" ref="C311" si="52">D311+E311</f>
        <v>113.004</v>
      </c>
      <c r="D311" s="118"/>
      <c r="E311" s="118">
        <v>113.004</v>
      </c>
      <c r="F311" s="109">
        <f t="shared" ref="F311" si="53">G311+H311</f>
        <v>131.99312</v>
      </c>
      <c r="G311" s="131"/>
      <c r="H311" s="118">
        <v>131.99312</v>
      </c>
      <c r="I311" s="109">
        <f t="shared" ref="I311" si="54">J311+K311</f>
        <v>112.99643</v>
      </c>
      <c r="J311" s="111"/>
      <c r="K311" s="111">
        <f>23.35549+20.66213+68.97881</f>
        <v>112.99643</v>
      </c>
      <c r="L311" s="13">
        <f t="shared" ref="L311" si="55">I311/C311*100</f>
        <v>99.993301122084176</v>
      </c>
      <c r="M311" s="13"/>
      <c r="N311" s="55" t="s">
        <v>442</v>
      </c>
      <c r="O311" s="66" t="s">
        <v>443</v>
      </c>
      <c r="P311" s="50" t="s">
        <v>444</v>
      </c>
    </row>
    <row r="312" spans="1:18" x14ac:dyDescent="0.25">
      <c r="A312" s="3"/>
      <c r="B312" s="85" t="s">
        <v>440</v>
      </c>
      <c r="C312" s="109">
        <f t="shared" si="41"/>
        <v>0.11529</v>
      </c>
      <c r="D312" s="118"/>
      <c r="E312" s="118">
        <v>0.11529</v>
      </c>
      <c r="F312" s="109">
        <f t="shared" si="42"/>
        <v>0</v>
      </c>
      <c r="G312" s="131"/>
      <c r="H312" s="118"/>
      <c r="I312" s="109">
        <f t="shared" si="43"/>
        <v>0</v>
      </c>
      <c r="J312" s="111"/>
      <c r="K312" s="111"/>
      <c r="L312" s="13">
        <f>I312/C312*100</f>
        <v>0</v>
      </c>
      <c r="M312" s="13"/>
      <c r="N312" s="55"/>
      <c r="O312" s="66"/>
      <c r="P312" s="84"/>
    </row>
    <row r="313" spans="1:18" x14ac:dyDescent="0.25">
      <c r="A313" s="3"/>
      <c r="B313" s="85" t="s">
        <v>441</v>
      </c>
      <c r="C313" s="109">
        <f t="shared" si="41"/>
        <v>32.328899999999997</v>
      </c>
      <c r="D313" s="118"/>
      <c r="E313" s="118">
        <v>32.328899999999997</v>
      </c>
      <c r="F313" s="109">
        <f t="shared" si="42"/>
        <v>0</v>
      </c>
      <c r="G313" s="131"/>
      <c r="H313" s="118"/>
      <c r="I313" s="109">
        <f t="shared" si="43"/>
        <v>0</v>
      </c>
      <c r="J313" s="111"/>
      <c r="K313" s="111"/>
      <c r="L313" s="13">
        <f>I313/C313*100</f>
        <v>0</v>
      </c>
      <c r="M313" s="13"/>
      <c r="N313" s="55"/>
      <c r="O313" s="66"/>
      <c r="P313" s="84"/>
    </row>
    <row r="314" spans="1:18" x14ac:dyDescent="0.25">
      <c r="A314" s="3"/>
      <c r="B314" s="32" t="s">
        <v>756</v>
      </c>
      <c r="C314" s="109">
        <f t="shared" si="41"/>
        <v>0.01</v>
      </c>
      <c r="D314" s="118"/>
      <c r="E314" s="118">
        <v>0.01</v>
      </c>
      <c r="F314" s="109"/>
      <c r="G314" s="131"/>
      <c r="H314" s="118"/>
      <c r="I314" s="109"/>
      <c r="J314" s="111"/>
      <c r="K314" s="111"/>
      <c r="L314" s="13"/>
      <c r="M314" s="13"/>
      <c r="N314" s="55"/>
      <c r="O314" s="66"/>
      <c r="P314" s="50"/>
    </row>
    <row r="315" spans="1:18" x14ac:dyDescent="0.25">
      <c r="A315" s="22"/>
      <c r="B315" s="81" t="s">
        <v>27</v>
      </c>
      <c r="C315" s="109">
        <f t="shared" ref="C315:C358" si="56">D315+E315</f>
        <v>581.89062999999987</v>
      </c>
      <c r="D315" s="109">
        <f>SUM(D299:D313)</f>
        <v>10.884</v>
      </c>
      <c r="E315" s="109">
        <f>SUM(E299:E314)</f>
        <v>571.00662999999986</v>
      </c>
      <c r="F315" s="109">
        <f t="shared" ref="D315:F358" si="57">G315+H315</f>
        <v>696.51020000000005</v>
      </c>
      <c r="G315" s="109">
        <f>SUM(G299:G313)</f>
        <v>7.327</v>
      </c>
      <c r="H315" s="109">
        <f>SUM(H299:H313)</f>
        <v>689.18320000000006</v>
      </c>
      <c r="I315" s="109">
        <f t="shared" ref="I315:I358" si="58">J315+K315</f>
        <v>498.87159000000003</v>
      </c>
      <c r="J315" s="109">
        <f>SUM(J299:J313)</f>
        <v>7.3262099999999997</v>
      </c>
      <c r="K315" s="109">
        <f>SUM(K299:K313)</f>
        <v>491.54538000000002</v>
      </c>
      <c r="L315" s="13">
        <f>I315/C315*100</f>
        <v>85.732879046359642</v>
      </c>
      <c r="M315" s="13"/>
      <c r="N315" s="36"/>
      <c r="O315" s="23"/>
      <c r="P315" s="23"/>
    </row>
    <row r="316" spans="1:18" x14ac:dyDescent="0.25">
      <c r="A316" s="22"/>
      <c r="B316" s="81"/>
      <c r="C316" s="109"/>
      <c r="D316" s="109"/>
      <c r="E316" s="109"/>
      <c r="F316" s="109"/>
      <c r="G316" s="109"/>
      <c r="H316" s="109"/>
      <c r="I316" s="109"/>
      <c r="J316" s="109"/>
      <c r="K316" s="109"/>
      <c r="L316" s="13"/>
      <c r="M316" s="13"/>
      <c r="N316" s="36"/>
      <c r="O316" s="23"/>
      <c r="P316" s="23"/>
      <c r="R316" s="121"/>
    </row>
    <row r="317" spans="1:18" ht="33.75" x14ac:dyDescent="0.25">
      <c r="A317" s="22" t="s">
        <v>445</v>
      </c>
      <c r="B317" s="81" t="s">
        <v>446</v>
      </c>
      <c r="C317" s="109"/>
      <c r="D317" s="113"/>
      <c r="E317" s="113"/>
      <c r="F317" s="109"/>
      <c r="G317" s="109"/>
      <c r="H317" s="134"/>
      <c r="I317" s="109"/>
      <c r="J317" s="109"/>
      <c r="K317" s="109"/>
      <c r="L317" s="13"/>
      <c r="M317" s="13"/>
      <c r="N317" s="10"/>
      <c r="O317" s="10"/>
      <c r="P317" s="11"/>
    </row>
    <row r="318" spans="1:18" ht="33.75" x14ac:dyDescent="0.25">
      <c r="A318" s="3"/>
      <c r="B318" s="61" t="s">
        <v>447</v>
      </c>
      <c r="C318" s="109">
        <f t="shared" si="56"/>
        <v>5.2489999999999997</v>
      </c>
      <c r="D318" s="111">
        <v>5.2489999999999997</v>
      </c>
      <c r="E318" s="111"/>
      <c r="F318" s="109">
        <f t="shared" si="57"/>
        <v>5.2489999999999997</v>
      </c>
      <c r="G318" s="111">
        <v>5.2489999999999997</v>
      </c>
      <c r="H318" s="110"/>
      <c r="I318" s="109">
        <f t="shared" si="58"/>
        <v>0</v>
      </c>
      <c r="J318" s="119"/>
      <c r="K318" s="111"/>
      <c r="L318" s="13">
        <f t="shared" ref="L318:L352" si="59">I318/C318*100</f>
        <v>0</v>
      </c>
      <c r="M318" s="13">
        <v>100</v>
      </c>
      <c r="N318" s="2" t="s">
        <v>386</v>
      </c>
      <c r="O318" s="45" t="s">
        <v>448</v>
      </c>
      <c r="P318" s="37" t="s">
        <v>387</v>
      </c>
    </row>
    <row r="319" spans="1:18" ht="57" x14ac:dyDescent="0.25">
      <c r="A319" s="3"/>
      <c r="B319" s="30" t="s">
        <v>449</v>
      </c>
      <c r="C319" s="109">
        <f t="shared" si="56"/>
        <v>31.093350000000001</v>
      </c>
      <c r="D319" s="112"/>
      <c r="E319" s="112">
        <v>31.093350000000001</v>
      </c>
      <c r="F319" s="109">
        <f t="shared" si="57"/>
        <v>43.068249999999999</v>
      </c>
      <c r="G319" s="109"/>
      <c r="H319" s="122">
        <v>43.068249999999999</v>
      </c>
      <c r="I319" s="109">
        <f t="shared" si="58"/>
        <v>31.093350000000001</v>
      </c>
      <c r="J319" s="111"/>
      <c r="K319" s="111">
        <v>31.093350000000001</v>
      </c>
      <c r="L319" s="13">
        <f t="shared" si="59"/>
        <v>100</v>
      </c>
      <c r="M319" s="13">
        <v>100</v>
      </c>
      <c r="N319" s="55" t="s">
        <v>450</v>
      </c>
      <c r="O319" s="56">
        <v>84</v>
      </c>
      <c r="P319" s="51" t="s">
        <v>451</v>
      </c>
    </row>
    <row r="320" spans="1:18" ht="45" x14ac:dyDescent="0.25">
      <c r="A320" s="3"/>
      <c r="B320" s="59" t="s">
        <v>452</v>
      </c>
      <c r="C320" s="109">
        <f t="shared" si="56"/>
        <v>121.60594</v>
      </c>
      <c r="D320" s="122">
        <v>6.0803399999999996</v>
      </c>
      <c r="E320" s="123">
        <v>115.5256</v>
      </c>
      <c r="F320" s="109">
        <f t="shared" si="57"/>
        <v>154.45408</v>
      </c>
      <c r="G320" s="122">
        <v>10.013999999999999</v>
      </c>
      <c r="H320" s="123">
        <v>144.44007999999999</v>
      </c>
      <c r="I320" s="109">
        <f t="shared" si="58"/>
        <v>30.127749999999999</v>
      </c>
      <c r="J320" s="111">
        <v>1.5063899999999999</v>
      </c>
      <c r="K320" s="111">
        <v>28.621359999999999</v>
      </c>
      <c r="L320" s="13">
        <f t="shared" si="59"/>
        <v>24.774899976103139</v>
      </c>
      <c r="M320" s="13">
        <v>100</v>
      </c>
      <c r="N320" s="55" t="s">
        <v>453</v>
      </c>
      <c r="O320" s="55" t="s">
        <v>25</v>
      </c>
      <c r="P320" s="68" t="s">
        <v>454</v>
      </c>
    </row>
    <row r="321" spans="1:17" ht="33.75" x14ac:dyDescent="0.25">
      <c r="A321" s="3"/>
      <c r="B321" s="61" t="s">
        <v>455</v>
      </c>
      <c r="C321" s="109">
        <f t="shared" si="56"/>
        <v>61.391039999999997</v>
      </c>
      <c r="D321" s="111">
        <v>61.391039999999997</v>
      </c>
      <c r="E321" s="109"/>
      <c r="F321" s="109">
        <f t="shared" si="57"/>
        <v>65.728660000000005</v>
      </c>
      <c r="G321" s="111">
        <v>65.728660000000005</v>
      </c>
      <c r="H321" s="109"/>
      <c r="I321" s="109">
        <f t="shared" si="58"/>
        <v>61.391039999999997</v>
      </c>
      <c r="J321" s="111">
        <v>61.391039999999997</v>
      </c>
      <c r="K321" s="111"/>
      <c r="L321" s="13">
        <f t="shared" si="59"/>
        <v>100</v>
      </c>
      <c r="M321" s="13">
        <v>100</v>
      </c>
      <c r="N321" s="2" t="s">
        <v>602</v>
      </c>
      <c r="O321" s="2" t="s">
        <v>456</v>
      </c>
      <c r="P321" s="32" t="s">
        <v>457</v>
      </c>
    </row>
    <row r="322" spans="1:17" ht="56.25" x14ac:dyDescent="0.25">
      <c r="A322" s="3"/>
      <c r="B322" s="63" t="s">
        <v>458</v>
      </c>
      <c r="C322" s="109">
        <f t="shared" si="56"/>
        <v>4.3499999999999996</v>
      </c>
      <c r="D322" s="112">
        <v>4.3499999999999996</v>
      </c>
      <c r="E322" s="109"/>
      <c r="F322" s="109">
        <f t="shared" si="57"/>
        <v>4.3499999999999996</v>
      </c>
      <c r="G322" s="109">
        <v>4.3499999999999996</v>
      </c>
      <c r="H322" s="110"/>
      <c r="I322" s="109">
        <f t="shared" si="58"/>
        <v>4.3499999999999996</v>
      </c>
      <c r="J322" s="111">
        <v>4.3499999999999996</v>
      </c>
      <c r="K322" s="111"/>
      <c r="L322" s="13">
        <f t="shared" si="59"/>
        <v>100</v>
      </c>
      <c r="M322" s="13"/>
      <c r="N322" s="2" t="s">
        <v>459</v>
      </c>
      <c r="O322" s="2">
        <v>24</v>
      </c>
      <c r="P322" s="27" t="s">
        <v>104</v>
      </c>
    </row>
    <row r="323" spans="1:17" ht="90" x14ac:dyDescent="0.25">
      <c r="A323" s="3"/>
      <c r="B323" s="61" t="s">
        <v>775</v>
      </c>
      <c r="C323" s="109">
        <f t="shared" si="56"/>
        <v>17.3934</v>
      </c>
      <c r="D323" s="111">
        <f>17.3934</f>
        <v>17.3934</v>
      </c>
      <c r="E323" s="109"/>
      <c r="F323" s="109">
        <f t="shared" si="57"/>
        <v>17.3934</v>
      </c>
      <c r="G323" s="111">
        <f>17.3934</f>
        <v>17.3934</v>
      </c>
      <c r="H323" s="110"/>
      <c r="I323" s="109">
        <f t="shared" si="58"/>
        <v>17.3934</v>
      </c>
      <c r="J323" s="111">
        <f>17.3934</f>
        <v>17.3934</v>
      </c>
      <c r="K323" s="111"/>
      <c r="L323" s="13">
        <f t="shared" si="59"/>
        <v>100</v>
      </c>
      <c r="M323" s="13"/>
      <c r="N323" s="2" t="s">
        <v>241</v>
      </c>
      <c r="O323" s="2">
        <v>4</v>
      </c>
      <c r="P323" s="21" t="s">
        <v>243</v>
      </c>
    </row>
    <row r="324" spans="1:17" x14ac:dyDescent="0.25">
      <c r="A324" s="3"/>
      <c r="B324" s="32" t="s">
        <v>460</v>
      </c>
      <c r="C324" s="109">
        <f t="shared" si="56"/>
        <v>8.2230000000000025E-2</v>
      </c>
      <c r="D324" s="112"/>
      <c r="E324" s="109">
        <f>4.14232-4.06009</f>
        <v>8.2230000000000025E-2</v>
      </c>
      <c r="F324" s="109">
        <f t="shared" si="57"/>
        <v>0</v>
      </c>
      <c r="G324" s="109"/>
      <c r="H324" s="110"/>
      <c r="I324" s="109">
        <f t="shared" si="58"/>
        <v>0</v>
      </c>
      <c r="J324" s="111"/>
      <c r="K324" s="111"/>
      <c r="L324" s="13">
        <f t="shared" si="59"/>
        <v>0</v>
      </c>
      <c r="M324" s="13"/>
      <c r="N324" s="2"/>
      <c r="O324" s="2"/>
      <c r="P324" s="32"/>
    </row>
    <row r="325" spans="1:17" x14ac:dyDescent="0.25">
      <c r="A325" s="3"/>
      <c r="B325" s="32" t="s">
        <v>461</v>
      </c>
      <c r="C325" s="109">
        <f t="shared" si="56"/>
        <v>1.6900000000000001E-3</v>
      </c>
      <c r="D325" s="111"/>
      <c r="E325" s="112">
        <v>1.6900000000000001E-3</v>
      </c>
      <c r="F325" s="109">
        <f t="shared" si="57"/>
        <v>0</v>
      </c>
      <c r="G325" s="111"/>
      <c r="H325" s="111"/>
      <c r="I325" s="109">
        <f t="shared" si="58"/>
        <v>0</v>
      </c>
      <c r="J325" s="111"/>
      <c r="K325" s="111"/>
      <c r="L325" s="13">
        <f t="shared" si="59"/>
        <v>0</v>
      </c>
      <c r="M325" s="13"/>
      <c r="N325" s="2"/>
      <c r="O325" s="20"/>
      <c r="P325" s="17"/>
    </row>
    <row r="326" spans="1:17" ht="56.25" x14ac:dyDescent="0.25">
      <c r="A326" s="3"/>
      <c r="B326" s="61" t="s">
        <v>462</v>
      </c>
      <c r="C326" s="109">
        <f t="shared" si="56"/>
        <v>67.021979999999999</v>
      </c>
      <c r="D326" s="111">
        <f>51.66398+15.358</f>
        <v>67.021979999999999</v>
      </c>
      <c r="E326" s="112"/>
      <c r="F326" s="109">
        <f t="shared" si="57"/>
        <v>76.79204</v>
      </c>
      <c r="G326" s="111">
        <v>76.79204</v>
      </c>
      <c r="H326" s="111"/>
      <c r="I326" s="109">
        <f t="shared" si="58"/>
        <v>67.021979999999999</v>
      </c>
      <c r="J326" s="111">
        <f>51.66398+15.358</f>
        <v>67.021979999999999</v>
      </c>
      <c r="K326" s="111"/>
      <c r="L326" s="13">
        <f t="shared" si="59"/>
        <v>100</v>
      </c>
      <c r="M326" s="13">
        <v>100</v>
      </c>
      <c r="N326" s="2" t="s">
        <v>463</v>
      </c>
      <c r="O326" s="20" t="s">
        <v>464</v>
      </c>
      <c r="P326" s="61" t="s">
        <v>465</v>
      </c>
    </row>
    <row r="327" spans="1:17" ht="67.5" x14ac:dyDescent="0.25">
      <c r="A327" s="3"/>
      <c r="B327" s="50" t="s">
        <v>466</v>
      </c>
      <c r="C327" s="109">
        <f t="shared" si="56"/>
        <v>4.9340000000000002</v>
      </c>
      <c r="D327" s="112">
        <v>4.9340000000000002</v>
      </c>
      <c r="E327" s="112"/>
      <c r="F327" s="109">
        <f t="shared" si="57"/>
        <v>4.9340000000000002</v>
      </c>
      <c r="G327" s="111">
        <v>4.9340000000000002</v>
      </c>
      <c r="H327" s="111"/>
      <c r="I327" s="109">
        <f t="shared" si="58"/>
        <v>3.11517</v>
      </c>
      <c r="J327" s="111">
        <v>3.11517</v>
      </c>
      <c r="K327" s="111"/>
      <c r="L327" s="13">
        <f t="shared" si="59"/>
        <v>63.136805837049046</v>
      </c>
      <c r="M327" s="13"/>
      <c r="N327" s="2" t="s">
        <v>467</v>
      </c>
      <c r="O327" s="20">
        <v>29</v>
      </c>
      <c r="P327" s="50" t="s">
        <v>74</v>
      </c>
    </row>
    <row r="328" spans="1:17" ht="45" x14ac:dyDescent="0.25">
      <c r="A328" s="3"/>
      <c r="B328" s="61" t="s">
        <v>468</v>
      </c>
      <c r="C328" s="109">
        <f t="shared" si="56"/>
        <v>342.99606</v>
      </c>
      <c r="D328" s="111">
        <v>342.99606</v>
      </c>
      <c r="E328" s="112"/>
      <c r="F328" s="109">
        <f t="shared" si="57"/>
        <v>342.99606999999997</v>
      </c>
      <c r="G328" s="111">
        <v>342.99606999999997</v>
      </c>
      <c r="H328" s="111"/>
      <c r="I328" s="109">
        <f t="shared" si="58"/>
        <v>60</v>
      </c>
      <c r="J328" s="111">
        <v>60</v>
      </c>
      <c r="K328" s="111"/>
      <c r="L328" s="13">
        <f t="shared" si="59"/>
        <v>17.4929123092551</v>
      </c>
      <c r="M328" s="13">
        <v>100</v>
      </c>
      <c r="N328" s="2" t="s">
        <v>469</v>
      </c>
      <c r="O328" s="20">
        <v>64</v>
      </c>
      <c r="P328" s="32" t="s">
        <v>470</v>
      </c>
    </row>
    <row r="329" spans="1:17" ht="67.5" x14ac:dyDescent="0.25">
      <c r="A329" s="3"/>
      <c r="B329" s="50" t="s">
        <v>466</v>
      </c>
      <c r="C329" s="109">
        <f t="shared" si="56"/>
        <v>20</v>
      </c>
      <c r="D329" s="111">
        <v>20</v>
      </c>
      <c r="E329" s="112"/>
      <c r="F329" s="109">
        <f t="shared" si="57"/>
        <v>20</v>
      </c>
      <c r="G329" s="111">
        <v>20</v>
      </c>
      <c r="H329" s="111"/>
      <c r="I329" s="109">
        <f t="shared" si="58"/>
        <v>0</v>
      </c>
      <c r="J329" s="111"/>
      <c r="K329" s="111"/>
      <c r="L329" s="13">
        <f t="shared" si="59"/>
        <v>0</v>
      </c>
      <c r="M329" s="13"/>
      <c r="N329" s="2" t="s">
        <v>471</v>
      </c>
      <c r="O329" s="45" t="s">
        <v>76</v>
      </c>
      <c r="P329" s="50" t="s">
        <v>74</v>
      </c>
    </row>
    <row r="330" spans="1:17" ht="45" x14ac:dyDescent="0.25">
      <c r="A330" s="3"/>
      <c r="B330" s="32" t="s">
        <v>815</v>
      </c>
      <c r="C330" s="109">
        <f t="shared" si="56"/>
        <v>259.39999999999998</v>
      </c>
      <c r="D330" s="111">
        <v>259.39999999999998</v>
      </c>
      <c r="E330" s="112"/>
      <c r="F330" s="109">
        <f t="shared" si="57"/>
        <v>297</v>
      </c>
      <c r="G330" s="111">
        <v>297</v>
      </c>
      <c r="H330" s="111"/>
      <c r="I330" s="109">
        <f t="shared" si="58"/>
        <v>147.68991</v>
      </c>
      <c r="J330" s="111">
        <f>88.28991+59.4</f>
        <v>147.68991</v>
      </c>
      <c r="K330" s="111"/>
      <c r="L330" s="13">
        <f t="shared" si="59"/>
        <v>56.935200462606019</v>
      </c>
      <c r="M330" s="13">
        <v>50</v>
      </c>
      <c r="N330" s="2" t="s">
        <v>469</v>
      </c>
      <c r="O330" s="45" t="s">
        <v>473</v>
      </c>
      <c r="P330" s="32" t="s">
        <v>474</v>
      </c>
    </row>
    <row r="331" spans="1:17" ht="101.25" x14ac:dyDescent="0.25">
      <c r="A331" s="3"/>
      <c r="B331" s="32" t="s">
        <v>475</v>
      </c>
      <c r="C331" s="109">
        <f t="shared" si="56"/>
        <v>63.98668</v>
      </c>
      <c r="D331" s="112">
        <v>63.98668</v>
      </c>
      <c r="E331" s="112"/>
      <c r="F331" s="109">
        <f t="shared" si="57"/>
        <v>63.98668</v>
      </c>
      <c r="G331" s="111">
        <v>63.98668</v>
      </c>
      <c r="H331" s="111"/>
      <c r="I331" s="109">
        <f t="shared" si="58"/>
        <v>63.92004</v>
      </c>
      <c r="J331" s="111">
        <f>1.88253+36.14665+21.34757+4.20444+0.33885</f>
        <v>63.92004</v>
      </c>
      <c r="K331" s="111"/>
      <c r="L331" s="13">
        <f t="shared" si="59"/>
        <v>99.895853324473165</v>
      </c>
      <c r="M331" s="13">
        <v>100</v>
      </c>
      <c r="N331" s="2" t="s">
        <v>476</v>
      </c>
      <c r="O331" s="45" t="s">
        <v>477</v>
      </c>
      <c r="P331" s="50" t="s">
        <v>478</v>
      </c>
    </row>
    <row r="332" spans="1:17" ht="33.75" x14ac:dyDescent="0.25">
      <c r="A332" s="3"/>
      <c r="B332" s="32" t="s">
        <v>447</v>
      </c>
      <c r="C332" s="109">
        <f t="shared" si="56"/>
        <v>35.359499999999997</v>
      </c>
      <c r="D332" s="112">
        <v>35.359499999999997</v>
      </c>
      <c r="E332" s="112"/>
      <c r="F332" s="109">
        <f t="shared" si="57"/>
        <v>35.359499999999997</v>
      </c>
      <c r="G332" s="111">
        <v>35.359499999999997</v>
      </c>
      <c r="H332" s="111"/>
      <c r="I332" s="109">
        <f t="shared" si="58"/>
        <v>35.359499999999997</v>
      </c>
      <c r="J332" s="111">
        <v>35.359499999999997</v>
      </c>
      <c r="K332" s="111"/>
      <c r="L332" s="13">
        <f t="shared" si="59"/>
        <v>100</v>
      </c>
      <c r="M332" s="13">
        <v>100</v>
      </c>
      <c r="N332" s="2" t="s">
        <v>479</v>
      </c>
      <c r="O332" s="45" t="s">
        <v>480</v>
      </c>
      <c r="P332" s="50" t="s">
        <v>481</v>
      </c>
    </row>
    <row r="333" spans="1:17" ht="33.75" x14ac:dyDescent="0.25">
      <c r="A333" s="3"/>
      <c r="B333" s="32" t="s">
        <v>816</v>
      </c>
      <c r="C333" s="109">
        <f t="shared" si="56"/>
        <v>91.155149999999992</v>
      </c>
      <c r="D333" s="111">
        <f>34.0593+57.09585</f>
        <v>91.155149999999992</v>
      </c>
      <c r="E333" s="112"/>
      <c r="F333" s="109">
        <f t="shared" si="57"/>
        <v>91.155149999999992</v>
      </c>
      <c r="G333" s="111">
        <f>34.0593+57.09585</f>
        <v>91.155149999999992</v>
      </c>
      <c r="H333" s="111"/>
      <c r="I333" s="109">
        <f t="shared" si="58"/>
        <v>91.155149999999992</v>
      </c>
      <c r="J333" s="111">
        <f>34.0593+57.09585</f>
        <v>91.155149999999992</v>
      </c>
      <c r="K333" s="111"/>
      <c r="L333" s="13">
        <f t="shared" si="59"/>
        <v>100</v>
      </c>
      <c r="M333" s="13">
        <v>100</v>
      </c>
      <c r="N333" s="2" t="s">
        <v>482</v>
      </c>
      <c r="O333" s="45" t="s">
        <v>483</v>
      </c>
      <c r="P333" s="50" t="s">
        <v>484</v>
      </c>
    </row>
    <row r="334" spans="1:17" ht="33.75" x14ac:dyDescent="0.25">
      <c r="A334" s="3"/>
      <c r="B334" s="32" t="s">
        <v>817</v>
      </c>
      <c r="C334" s="109">
        <f t="shared" si="56"/>
        <v>74.882800000000003</v>
      </c>
      <c r="D334" s="109">
        <f t="shared" si="57"/>
        <v>74.882800000000003</v>
      </c>
      <c r="E334" s="112"/>
      <c r="F334" s="109">
        <f t="shared" si="57"/>
        <v>74.882800000000003</v>
      </c>
      <c r="G334" s="111">
        <v>74.882800000000003</v>
      </c>
      <c r="H334" s="111"/>
      <c r="I334" s="109">
        <f t="shared" si="58"/>
        <v>0</v>
      </c>
      <c r="J334" s="111"/>
      <c r="K334" s="111"/>
      <c r="L334" s="13">
        <f t="shared" si="59"/>
        <v>0</v>
      </c>
      <c r="M334" s="13">
        <v>50</v>
      </c>
      <c r="N334" s="2" t="s">
        <v>463</v>
      </c>
      <c r="O334" s="45" t="s">
        <v>485</v>
      </c>
      <c r="P334" s="50" t="s">
        <v>478</v>
      </c>
    </row>
    <row r="335" spans="1:17" ht="33.75" x14ac:dyDescent="0.25">
      <c r="A335" s="3"/>
      <c r="B335" s="32" t="s">
        <v>818</v>
      </c>
      <c r="C335" s="109">
        <f t="shared" si="56"/>
        <v>74.882800000000003</v>
      </c>
      <c r="D335" s="111">
        <v>74.882800000000003</v>
      </c>
      <c r="E335" s="112"/>
      <c r="F335" s="109">
        <f t="shared" si="57"/>
        <v>74.882800000000003</v>
      </c>
      <c r="G335" s="111">
        <v>74.882800000000003</v>
      </c>
      <c r="H335" s="111"/>
      <c r="I335" s="109">
        <f t="shared" si="58"/>
        <v>33.258369999999999</v>
      </c>
      <c r="J335" s="111">
        <v>33.258369999999999</v>
      </c>
      <c r="K335" s="111"/>
      <c r="L335" s="13">
        <f t="shared" si="59"/>
        <v>44.413897450415845</v>
      </c>
      <c r="M335" s="13">
        <v>50</v>
      </c>
      <c r="N335" s="2" t="s">
        <v>463</v>
      </c>
      <c r="O335" s="45" t="s">
        <v>486</v>
      </c>
      <c r="P335" s="50" t="s">
        <v>478</v>
      </c>
    </row>
    <row r="336" spans="1:17" ht="33.75" x14ac:dyDescent="0.25">
      <c r="A336" s="3"/>
      <c r="B336" s="32" t="s">
        <v>819</v>
      </c>
      <c r="C336" s="109">
        <f t="shared" si="56"/>
        <v>74.882800000000003</v>
      </c>
      <c r="D336" s="111">
        <v>74.882800000000003</v>
      </c>
      <c r="E336" s="112"/>
      <c r="F336" s="109">
        <f t="shared" si="57"/>
        <v>74.882800000000003</v>
      </c>
      <c r="G336" s="111">
        <v>74.882800000000003</v>
      </c>
      <c r="H336" s="111"/>
      <c r="I336" s="109">
        <f t="shared" si="58"/>
        <v>33.258369999999999</v>
      </c>
      <c r="J336" s="111">
        <v>33.258369999999999</v>
      </c>
      <c r="K336" s="111"/>
      <c r="L336" s="13">
        <f t="shared" si="59"/>
        <v>44.413897450415845</v>
      </c>
      <c r="M336" s="13">
        <v>50</v>
      </c>
      <c r="N336" s="2" t="s">
        <v>463</v>
      </c>
      <c r="O336" s="45" t="s">
        <v>487</v>
      </c>
      <c r="P336" s="50" t="s">
        <v>478</v>
      </c>
      <c r="Q336" s="154"/>
    </row>
    <row r="337" spans="1:17" ht="33.75" x14ac:dyDescent="0.25">
      <c r="A337" s="3"/>
      <c r="B337" s="32" t="s">
        <v>820</v>
      </c>
      <c r="C337" s="109">
        <f t="shared" si="56"/>
        <v>74.882800000000003</v>
      </c>
      <c r="D337" s="111">
        <v>74.882800000000003</v>
      </c>
      <c r="E337" s="112"/>
      <c r="F337" s="109">
        <f t="shared" si="57"/>
        <v>74.882800000000003</v>
      </c>
      <c r="G337" s="111">
        <v>74.882800000000003</v>
      </c>
      <c r="H337" s="111"/>
      <c r="I337" s="109">
        <f t="shared" si="58"/>
        <v>27.968820000000001</v>
      </c>
      <c r="J337" s="111">
        <v>27.968820000000001</v>
      </c>
      <c r="K337" s="111"/>
      <c r="L337" s="13">
        <f t="shared" si="59"/>
        <v>37.350125796578119</v>
      </c>
      <c r="M337" s="13">
        <v>50</v>
      </c>
      <c r="N337" s="2" t="s">
        <v>463</v>
      </c>
      <c r="O337" s="45" t="s">
        <v>488</v>
      </c>
      <c r="P337" s="50" t="s">
        <v>478</v>
      </c>
    </row>
    <row r="338" spans="1:17" ht="33.75" x14ac:dyDescent="0.25">
      <c r="A338" s="3"/>
      <c r="B338" s="33" t="s">
        <v>821</v>
      </c>
      <c r="C338" s="109">
        <f t="shared" si="56"/>
        <v>72.569999999999993</v>
      </c>
      <c r="D338" s="111">
        <v>72.569999999999993</v>
      </c>
      <c r="E338" s="112"/>
      <c r="F338" s="109">
        <f t="shared" si="57"/>
        <v>72.569999999999993</v>
      </c>
      <c r="G338" s="111">
        <v>72.569999999999993</v>
      </c>
      <c r="H338" s="111"/>
      <c r="I338" s="109">
        <f t="shared" si="58"/>
        <v>26.37584</v>
      </c>
      <c r="J338" s="111">
        <v>26.37584</v>
      </c>
      <c r="K338" s="111"/>
      <c r="L338" s="13">
        <f t="shared" si="59"/>
        <v>36.345376877497593</v>
      </c>
      <c r="M338" s="13">
        <v>50</v>
      </c>
      <c r="N338" s="2" t="s">
        <v>93</v>
      </c>
      <c r="O338" s="45" t="s">
        <v>489</v>
      </c>
      <c r="P338" s="50" t="s">
        <v>478</v>
      </c>
    </row>
    <row r="339" spans="1:17" ht="33.75" x14ac:dyDescent="0.25">
      <c r="A339" s="3"/>
      <c r="B339" s="32" t="s">
        <v>822</v>
      </c>
      <c r="C339" s="109">
        <f t="shared" si="56"/>
        <v>72.569999999999993</v>
      </c>
      <c r="D339" s="111">
        <v>72.569999999999993</v>
      </c>
      <c r="E339" s="112"/>
      <c r="F339" s="109">
        <f t="shared" si="57"/>
        <v>72.569999999999993</v>
      </c>
      <c r="G339" s="111">
        <v>72.569999999999993</v>
      </c>
      <c r="H339" s="111"/>
      <c r="I339" s="109">
        <f t="shared" si="58"/>
        <v>26.358740000000001</v>
      </c>
      <c r="J339" s="111">
        <v>26.358740000000001</v>
      </c>
      <c r="K339" s="111"/>
      <c r="L339" s="13">
        <f t="shared" si="59"/>
        <v>36.321813421524055</v>
      </c>
      <c r="M339" s="13">
        <v>50</v>
      </c>
      <c r="N339" s="2" t="s">
        <v>490</v>
      </c>
      <c r="O339" s="45" t="s">
        <v>491</v>
      </c>
      <c r="P339" s="50" t="s">
        <v>478</v>
      </c>
    </row>
    <row r="340" spans="1:17" s="104" customFormat="1" ht="45" x14ac:dyDescent="0.2">
      <c r="A340" s="103"/>
      <c r="B340" s="101" t="s">
        <v>542</v>
      </c>
      <c r="C340" s="109">
        <f t="shared" si="56"/>
        <v>41.24935</v>
      </c>
      <c r="D340" s="120">
        <v>41.24935</v>
      </c>
      <c r="E340" s="120"/>
      <c r="F340" s="109">
        <f t="shared" si="57"/>
        <v>41.24935</v>
      </c>
      <c r="G340" s="120">
        <v>41.24935</v>
      </c>
      <c r="H340" s="120"/>
      <c r="I340" s="109">
        <f t="shared" si="58"/>
        <v>29.698560000000001</v>
      </c>
      <c r="J340" s="137">
        <f>17.64163+3+7.57193+1.485</f>
        <v>29.698560000000001</v>
      </c>
      <c r="K340" s="137"/>
      <c r="L340" s="13">
        <f t="shared" si="59"/>
        <v>71.997643599232475</v>
      </c>
      <c r="M340" s="13">
        <v>50</v>
      </c>
      <c r="N340" s="105" t="s">
        <v>694</v>
      </c>
      <c r="O340" s="103">
        <v>70</v>
      </c>
      <c r="P340" s="105" t="s">
        <v>541</v>
      </c>
      <c r="Q340" s="153"/>
    </row>
    <row r="341" spans="1:17" s="104" customFormat="1" ht="45" x14ac:dyDescent="0.2">
      <c r="A341" s="103"/>
      <c r="B341" s="101" t="s">
        <v>543</v>
      </c>
      <c r="C341" s="109">
        <f t="shared" si="56"/>
        <v>41.238169999999997</v>
      </c>
      <c r="D341" s="120">
        <v>41.238169999999997</v>
      </c>
      <c r="E341" s="120"/>
      <c r="F341" s="109">
        <f t="shared" si="57"/>
        <v>41.238169999999997</v>
      </c>
      <c r="G341" s="120">
        <v>41.238169999999997</v>
      </c>
      <c r="H341" s="120"/>
      <c r="I341" s="109">
        <f t="shared" si="58"/>
        <v>25.15551</v>
      </c>
      <c r="J341" s="137">
        <f>7.85357+1.48464+15.8173</f>
        <v>25.15551</v>
      </c>
      <c r="K341" s="137"/>
      <c r="L341" s="13">
        <f t="shared" si="59"/>
        <v>61.000548763439312</v>
      </c>
      <c r="M341" s="13">
        <v>50</v>
      </c>
      <c r="N341" s="105" t="s">
        <v>694</v>
      </c>
      <c r="O341" s="103" t="s">
        <v>544</v>
      </c>
      <c r="P341" s="105" t="s">
        <v>541</v>
      </c>
      <c r="Q341" s="153"/>
    </row>
    <row r="342" spans="1:17" s="104" customFormat="1" ht="67.5" x14ac:dyDescent="0.2">
      <c r="A342" s="103"/>
      <c r="B342" s="101" t="s">
        <v>823</v>
      </c>
      <c r="C342" s="109">
        <f t="shared" si="56"/>
        <v>1.8</v>
      </c>
      <c r="D342" s="120">
        <v>1.8</v>
      </c>
      <c r="E342" s="120"/>
      <c r="F342" s="109">
        <f t="shared" si="57"/>
        <v>1.8</v>
      </c>
      <c r="G342" s="120">
        <v>1.8</v>
      </c>
      <c r="H342" s="120"/>
      <c r="I342" s="109">
        <f t="shared" si="58"/>
        <v>0.9</v>
      </c>
      <c r="J342" s="137">
        <v>0.9</v>
      </c>
      <c r="K342" s="137"/>
      <c r="L342" s="13">
        <f t="shared" si="59"/>
        <v>50</v>
      </c>
      <c r="M342" s="13"/>
      <c r="N342" s="105" t="s">
        <v>695</v>
      </c>
      <c r="O342" s="101" t="s">
        <v>696</v>
      </c>
      <c r="P342" s="101" t="s">
        <v>101</v>
      </c>
      <c r="Q342" s="153"/>
    </row>
    <row r="343" spans="1:17" s="104" customFormat="1" ht="67.5" x14ac:dyDescent="0.2">
      <c r="A343" s="103"/>
      <c r="B343" s="101" t="s">
        <v>824</v>
      </c>
      <c r="C343" s="109">
        <f t="shared" si="56"/>
        <v>1.8</v>
      </c>
      <c r="D343" s="120">
        <v>1.8</v>
      </c>
      <c r="E343" s="120"/>
      <c r="F343" s="109">
        <f t="shared" si="57"/>
        <v>1.8</v>
      </c>
      <c r="G343" s="120">
        <v>1.8</v>
      </c>
      <c r="H343" s="120"/>
      <c r="I343" s="109">
        <f t="shared" si="58"/>
        <v>0.9</v>
      </c>
      <c r="J343" s="137">
        <v>0.9</v>
      </c>
      <c r="K343" s="137"/>
      <c r="L343" s="13">
        <f t="shared" si="59"/>
        <v>50</v>
      </c>
      <c r="M343" s="13"/>
      <c r="N343" s="105" t="s">
        <v>695</v>
      </c>
      <c r="O343" s="101" t="s">
        <v>696</v>
      </c>
      <c r="P343" s="101" t="s">
        <v>101</v>
      </c>
      <c r="Q343" s="153"/>
    </row>
    <row r="344" spans="1:17" s="104" customFormat="1" ht="67.5" x14ac:dyDescent="0.2">
      <c r="A344" s="103"/>
      <c r="B344" s="101" t="s">
        <v>825</v>
      </c>
      <c r="C344" s="109">
        <f t="shared" si="56"/>
        <v>0.4</v>
      </c>
      <c r="D344" s="137">
        <v>0.4</v>
      </c>
      <c r="E344" s="120"/>
      <c r="F344" s="109">
        <f t="shared" si="57"/>
        <v>0.4</v>
      </c>
      <c r="G344" s="137">
        <v>0.4</v>
      </c>
      <c r="H344" s="120"/>
      <c r="I344" s="109">
        <f t="shared" si="58"/>
        <v>0.4</v>
      </c>
      <c r="J344" s="137">
        <v>0.4</v>
      </c>
      <c r="K344" s="137"/>
      <c r="L344" s="13">
        <f t="shared" si="59"/>
        <v>100</v>
      </c>
      <c r="M344" s="13"/>
      <c r="N344" s="105" t="s">
        <v>637</v>
      </c>
      <c r="O344" s="101" t="s">
        <v>697</v>
      </c>
      <c r="P344" s="101" t="s">
        <v>318</v>
      </c>
      <c r="Q344" s="153"/>
    </row>
    <row r="345" spans="1:17" s="104" customFormat="1" ht="33.75" x14ac:dyDescent="0.2">
      <c r="A345" s="103"/>
      <c r="B345" s="101" t="s">
        <v>603</v>
      </c>
      <c r="C345" s="109">
        <f t="shared" si="56"/>
        <v>20.420000000000002</v>
      </c>
      <c r="D345" s="137">
        <v>20.420000000000002</v>
      </c>
      <c r="E345" s="137"/>
      <c r="F345" s="109">
        <f t="shared" ref="F345:F351" si="60">G345+H345</f>
        <v>22.786919999999999</v>
      </c>
      <c r="G345" s="137">
        <v>22.786919999999999</v>
      </c>
      <c r="H345" s="137"/>
      <c r="I345" s="109">
        <f t="shared" ref="I345:I346" si="61">J345+K345</f>
        <v>20.416</v>
      </c>
      <c r="J345" s="137">
        <v>20.416</v>
      </c>
      <c r="K345" s="137"/>
      <c r="L345" s="13">
        <f t="shared" si="59"/>
        <v>99.980411361410376</v>
      </c>
      <c r="M345" s="13">
        <v>100</v>
      </c>
      <c r="N345" s="105" t="s">
        <v>760</v>
      </c>
      <c r="O345" s="101">
        <v>107</v>
      </c>
      <c r="P345" s="101" t="s">
        <v>605</v>
      </c>
      <c r="Q345" s="153"/>
    </row>
    <row r="346" spans="1:17" s="104" customFormat="1" ht="33.75" x14ac:dyDescent="0.2">
      <c r="A346" s="103"/>
      <c r="B346" s="101" t="s">
        <v>604</v>
      </c>
      <c r="C346" s="109">
        <f t="shared" si="56"/>
        <v>19.079999999999998</v>
      </c>
      <c r="D346" s="137">
        <v>19.079999999999998</v>
      </c>
      <c r="E346" s="137"/>
      <c r="F346" s="109">
        <f t="shared" si="60"/>
        <v>22.559470000000001</v>
      </c>
      <c r="G346" s="137">
        <v>22.559470000000001</v>
      </c>
      <c r="H346" s="137"/>
      <c r="I346" s="109">
        <f t="shared" si="61"/>
        <v>19.076689999999999</v>
      </c>
      <c r="J346" s="137">
        <v>19.076689999999999</v>
      </c>
      <c r="K346" s="137"/>
      <c r="L346" s="13">
        <f t="shared" si="59"/>
        <v>99.982651991614262</v>
      </c>
      <c r="M346" s="13">
        <v>100</v>
      </c>
      <c r="N346" s="105" t="s">
        <v>760</v>
      </c>
      <c r="O346" s="101">
        <v>107</v>
      </c>
      <c r="P346" s="101" t="s">
        <v>605</v>
      </c>
      <c r="Q346" s="153"/>
    </row>
    <row r="347" spans="1:17" s="104" customFormat="1" ht="33.75" x14ac:dyDescent="0.2">
      <c r="A347" s="103"/>
      <c r="B347" s="144" t="s">
        <v>826</v>
      </c>
      <c r="C347" s="109">
        <f t="shared" si="56"/>
        <v>42.02102</v>
      </c>
      <c r="D347" s="137">
        <v>42.02102</v>
      </c>
      <c r="E347" s="137"/>
      <c r="F347" s="109">
        <f t="shared" si="60"/>
        <v>82.021019999999993</v>
      </c>
      <c r="G347" s="137">
        <v>82.021019999999993</v>
      </c>
      <c r="H347" s="137"/>
      <c r="I347" s="109"/>
      <c r="J347" s="137"/>
      <c r="K347" s="137"/>
      <c r="L347" s="13">
        <f t="shared" si="59"/>
        <v>0</v>
      </c>
      <c r="M347" s="13">
        <v>50</v>
      </c>
      <c r="N347" s="105" t="s">
        <v>698</v>
      </c>
      <c r="O347" s="101" t="s">
        <v>690</v>
      </c>
      <c r="P347" s="144" t="s">
        <v>165</v>
      </c>
      <c r="Q347" s="153"/>
    </row>
    <row r="348" spans="1:17" s="104" customFormat="1" ht="22.5" x14ac:dyDescent="0.2">
      <c r="A348" s="103"/>
      <c r="B348" s="144" t="s">
        <v>827</v>
      </c>
      <c r="C348" s="109">
        <f t="shared" si="56"/>
        <v>42.02102</v>
      </c>
      <c r="D348" s="137">
        <v>42.02102</v>
      </c>
      <c r="E348" s="137"/>
      <c r="F348" s="109">
        <f t="shared" si="60"/>
        <v>82.021019999999993</v>
      </c>
      <c r="G348" s="137">
        <v>82.021019999999993</v>
      </c>
      <c r="H348" s="137"/>
      <c r="I348" s="109"/>
      <c r="J348" s="137"/>
      <c r="K348" s="137"/>
      <c r="L348" s="13">
        <f t="shared" si="59"/>
        <v>0</v>
      </c>
      <c r="M348" s="13">
        <v>50</v>
      </c>
      <c r="N348" s="105" t="s">
        <v>698</v>
      </c>
      <c r="O348" s="101" t="s">
        <v>691</v>
      </c>
      <c r="P348" s="144" t="s">
        <v>165</v>
      </c>
      <c r="Q348" s="153"/>
    </row>
    <row r="349" spans="1:17" s="104" customFormat="1" ht="45" x14ac:dyDescent="0.2">
      <c r="A349" s="103"/>
      <c r="B349" s="144" t="s">
        <v>828</v>
      </c>
      <c r="C349" s="109">
        <f t="shared" si="56"/>
        <v>15</v>
      </c>
      <c r="D349" s="137">
        <v>15</v>
      </c>
      <c r="E349" s="137"/>
      <c r="F349" s="109">
        <f t="shared" si="60"/>
        <v>47.199550000000002</v>
      </c>
      <c r="G349" s="137">
        <v>47.199550000000002</v>
      </c>
      <c r="H349" s="137"/>
      <c r="I349" s="109"/>
      <c r="J349" s="137"/>
      <c r="K349" s="137"/>
      <c r="L349" s="13">
        <f t="shared" si="59"/>
        <v>0</v>
      </c>
      <c r="M349" s="13">
        <v>100</v>
      </c>
      <c r="N349" s="105" t="s">
        <v>699</v>
      </c>
      <c r="O349" s="101" t="s">
        <v>692</v>
      </c>
      <c r="P349" s="144" t="s">
        <v>378</v>
      </c>
      <c r="Q349" s="153"/>
    </row>
    <row r="350" spans="1:17" s="104" customFormat="1" ht="45" x14ac:dyDescent="0.2">
      <c r="A350" s="103"/>
      <c r="B350" s="152" t="s">
        <v>829</v>
      </c>
      <c r="C350" s="109">
        <f t="shared" si="56"/>
        <v>36</v>
      </c>
      <c r="D350" s="137">
        <v>36</v>
      </c>
      <c r="E350" s="137"/>
      <c r="F350" s="109">
        <f t="shared" si="60"/>
        <v>42.366459999999996</v>
      </c>
      <c r="G350" s="137">
        <v>42.366459999999996</v>
      </c>
      <c r="H350" s="137"/>
      <c r="I350" s="109"/>
      <c r="J350" s="137"/>
      <c r="K350" s="137"/>
      <c r="L350" s="13">
        <f t="shared" si="59"/>
        <v>0</v>
      </c>
      <c r="M350" s="13">
        <v>100</v>
      </c>
      <c r="N350" s="105" t="s">
        <v>700</v>
      </c>
      <c r="O350" s="101">
        <v>93</v>
      </c>
      <c r="P350" s="144" t="s">
        <v>701</v>
      </c>
      <c r="Q350" s="153"/>
    </row>
    <row r="351" spans="1:17" s="104" customFormat="1" ht="45" x14ac:dyDescent="0.2">
      <c r="A351" s="103"/>
      <c r="B351" s="152" t="s">
        <v>702</v>
      </c>
      <c r="C351" s="109">
        <f t="shared" si="56"/>
        <v>26.05003</v>
      </c>
      <c r="D351" s="137">
        <v>26.05003</v>
      </c>
      <c r="E351" s="137"/>
      <c r="F351" s="109">
        <f t="shared" si="60"/>
        <v>46.366459999999996</v>
      </c>
      <c r="G351" s="137">
        <v>46.366459999999996</v>
      </c>
      <c r="H351" s="137"/>
      <c r="I351" s="109"/>
      <c r="J351" s="137"/>
      <c r="K351" s="137"/>
      <c r="L351" s="13">
        <f t="shared" si="59"/>
        <v>0</v>
      </c>
      <c r="M351" s="13">
        <v>100</v>
      </c>
      <c r="N351" s="105" t="s">
        <v>700</v>
      </c>
      <c r="O351" s="101" t="s">
        <v>693</v>
      </c>
      <c r="P351" s="144" t="s">
        <v>701</v>
      </c>
      <c r="Q351" s="153"/>
    </row>
    <row r="352" spans="1:17" x14ac:dyDescent="0.25">
      <c r="A352" s="22"/>
      <c r="B352" s="81" t="s">
        <v>27</v>
      </c>
      <c r="C352" s="109">
        <f t="shared" si="56"/>
        <v>1857.7708100000002</v>
      </c>
      <c r="D352" s="109">
        <f>SUM(D318:D351)</f>
        <v>1711.0679400000001</v>
      </c>
      <c r="E352" s="109">
        <f>SUM(E318:E346)</f>
        <v>146.70286999999999</v>
      </c>
      <c r="F352" s="109">
        <f t="shared" si="57"/>
        <v>1798.9719400000004</v>
      </c>
      <c r="G352" s="109">
        <f>SUM(G318:G346)</f>
        <v>1611.4636100000002</v>
      </c>
      <c r="H352" s="109">
        <f>SUM(H318:H346)</f>
        <v>187.50833</v>
      </c>
      <c r="I352" s="109">
        <f t="shared" si="58"/>
        <v>856.3841900000001</v>
      </c>
      <c r="J352" s="109">
        <f>SUM(J318:J346)</f>
        <v>796.66948000000014</v>
      </c>
      <c r="K352" s="109">
        <f>SUM(K318:K346)</f>
        <v>59.714709999999997</v>
      </c>
      <c r="L352" s="13">
        <f t="shared" si="59"/>
        <v>46.097408000505723</v>
      </c>
      <c r="M352" s="13"/>
      <c r="N352" s="36"/>
      <c r="O352" s="112"/>
      <c r="P352" s="23"/>
      <c r="Q352" s="154"/>
    </row>
    <row r="353" spans="1:18" x14ac:dyDescent="0.25">
      <c r="A353" s="22"/>
      <c r="B353" s="81"/>
      <c r="C353" s="109"/>
      <c r="D353" s="109"/>
      <c r="E353" s="109"/>
      <c r="F353" s="109"/>
      <c r="G353" s="109"/>
      <c r="H353" s="109"/>
      <c r="I353" s="109"/>
      <c r="J353" s="109"/>
      <c r="K353" s="109"/>
      <c r="L353" s="13"/>
      <c r="M353" s="13"/>
      <c r="N353" s="36"/>
      <c r="O353" s="112"/>
      <c r="P353" s="23"/>
      <c r="Q353" s="158"/>
      <c r="R353" s="159"/>
    </row>
    <row r="354" spans="1:18" ht="45" x14ac:dyDescent="0.25">
      <c r="A354" s="22" t="s">
        <v>492</v>
      </c>
      <c r="B354" s="81" t="s">
        <v>493</v>
      </c>
      <c r="C354" s="109"/>
      <c r="D354" s="113"/>
      <c r="E354" s="113"/>
      <c r="F354" s="109"/>
      <c r="G354" s="109"/>
      <c r="H354" s="134"/>
      <c r="I354" s="109"/>
      <c r="J354" s="109"/>
      <c r="K354" s="109"/>
      <c r="L354" s="13"/>
      <c r="M354" s="13"/>
      <c r="N354" s="10"/>
      <c r="O354" s="10"/>
      <c r="P354" s="11"/>
    </row>
    <row r="355" spans="1:18" x14ac:dyDescent="0.25">
      <c r="A355" s="22"/>
      <c r="B355" s="51" t="s">
        <v>494</v>
      </c>
      <c r="C355" s="109">
        <f t="shared" si="56"/>
        <v>3.4499999999999997</v>
      </c>
      <c r="D355" s="111">
        <f>0.3136+0.008+0.0784+0.3136+0.008+0.0784+2.25+0.3136+0.008+0.0784</f>
        <v>3.4499999999999997</v>
      </c>
      <c r="E355" s="134"/>
      <c r="F355" s="109">
        <f t="shared" si="57"/>
        <v>4.6500000000000004</v>
      </c>
      <c r="G355" s="111">
        <v>4.6500000000000004</v>
      </c>
      <c r="H355" s="109"/>
      <c r="I355" s="109">
        <f t="shared" si="58"/>
        <v>3.4499999999999997</v>
      </c>
      <c r="J355" s="111">
        <f>0.3136+0.008+0.0784+0.3136+0.008+0.0784+2.25+0.3136+0.008+0.0784</f>
        <v>3.4499999999999997</v>
      </c>
      <c r="K355" s="109"/>
      <c r="L355" s="13">
        <f>I355/C355*100</f>
        <v>100</v>
      </c>
      <c r="M355" s="13"/>
      <c r="N355" s="10"/>
      <c r="O355" s="10"/>
      <c r="P355" s="23"/>
    </row>
    <row r="356" spans="1:18" ht="67.5" x14ac:dyDescent="0.25">
      <c r="A356" s="22"/>
      <c r="B356" s="50" t="s">
        <v>72</v>
      </c>
      <c r="C356" s="109">
        <f t="shared" si="56"/>
        <v>11.144</v>
      </c>
      <c r="D356" s="111">
        <v>11.144</v>
      </c>
      <c r="E356" s="134"/>
      <c r="F356" s="109">
        <f t="shared" si="57"/>
        <v>11.144</v>
      </c>
      <c r="G356" s="111">
        <v>11.144</v>
      </c>
      <c r="H356" s="109"/>
      <c r="I356" s="109">
        <f t="shared" si="58"/>
        <v>11.140409999999999</v>
      </c>
      <c r="J356" s="111">
        <v>11.140409999999999</v>
      </c>
      <c r="K356" s="109"/>
      <c r="L356" s="13">
        <f>I356/C356*100</f>
        <v>99.967785355348155</v>
      </c>
      <c r="M356" s="13"/>
      <c r="N356" s="10" t="s">
        <v>471</v>
      </c>
      <c r="O356" s="14" t="s">
        <v>472</v>
      </c>
      <c r="P356" s="50" t="s">
        <v>74</v>
      </c>
    </row>
    <row r="357" spans="1:18" x14ac:dyDescent="0.25">
      <c r="A357" s="22"/>
      <c r="B357" s="47" t="s">
        <v>495</v>
      </c>
      <c r="C357" s="109">
        <f t="shared" si="56"/>
        <v>8.7580000000000005E-2</v>
      </c>
      <c r="D357" s="111">
        <v>8.1290000000000001E-2</v>
      </c>
      <c r="E357" s="134">
        <v>6.2899999999999996E-3</v>
      </c>
      <c r="F357" s="109">
        <f t="shared" si="57"/>
        <v>0</v>
      </c>
      <c r="G357" s="111"/>
      <c r="H357" s="109"/>
      <c r="I357" s="109">
        <f t="shared" si="58"/>
        <v>0</v>
      </c>
      <c r="J357" s="111"/>
      <c r="K357" s="109"/>
      <c r="L357" s="13">
        <f>I357/C357*100</f>
        <v>0</v>
      </c>
      <c r="M357" s="13"/>
      <c r="N357" s="10"/>
      <c r="O357" s="99"/>
      <c r="P357" s="50"/>
    </row>
    <row r="358" spans="1:18" x14ac:dyDescent="0.25">
      <c r="A358" s="3"/>
      <c r="B358" s="81" t="s">
        <v>27</v>
      </c>
      <c r="C358" s="109">
        <f t="shared" si="56"/>
        <v>14.675289999999999</v>
      </c>
      <c r="D358" s="109">
        <f>SUM(D355:D357)</f>
        <v>14.675289999999999</v>
      </c>
      <c r="E358" s="109"/>
      <c r="F358" s="109">
        <f t="shared" si="57"/>
        <v>15.790000000000001</v>
      </c>
      <c r="G358" s="109">
        <v>15.790000000000001</v>
      </c>
      <c r="H358" s="109">
        <v>0</v>
      </c>
      <c r="I358" s="109">
        <f t="shared" si="58"/>
        <v>14.590409999999999</v>
      </c>
      <c r="J358" s="109">
        <f>SUM(J355:J357)</f>
        <v>14.590409999999999</v>
      </c>
      <c r="K358" s="109">
        <f>SUM(K355:K357)</f>
        <v>0</v>
      </c>
      <c r="L358" s="13">
        <f>I358/C358*100</f>
        <v>99.421612792660312</v>
      </c>
      <c r="M358" s="13"/>
      <c r="N358" s="36"/>
      <c r="O358" s="23"/>
      <c r="P358" s="23"/>
    </row>
    <row r="359" spans="1:18" x14ac:dyDescent="0.25">
      <c r="Q359" s="154"/>
    </row>
  </sheetData>
  <autoFilter ref="A4:P12"/>
  <mergeCells count="2">
    <mergeCell ref="C2:K2"/>
    <mergeCell ref="H1:P1"/>
  </mergeCells>
  <pageMargins left="0" right="0" top="0" bottom="0"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Marina Tediashvili</cp:lastModifiedBy>
  <cp:lastPrinted>2021-11-02T08:08:57Z</cp:lastPrinted>
  <dcterms:created xsi:type="dcterms:W3CDTF">2021-09-20T16:21:23Z</dcterms:created>
  <dcterms:modified xsi:type="dcterms:W3CDTF">2021-11-02T08:24:33Z</dcterms:modified>
</cp:coreProperties>
</file>