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 weli\2022 შესრულებები\1 კვარტ.შესრ\საკრებულოს 1 კვარტ.შესრ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7" i="1" l="1"/>
  <c r="H47" i="1"/>
  <c r="H15" i="1" l="1"/>
  <c r="D200" i="1" l="1"/>
  <c r="G78" i="1"/>
  <c r="G77" i="1"/>
  <c r="G91" i="1"/>
  <c r="G92" i="1"/>
  <c r="G89" i="1"/>
  <c r="C111" i="1" l="1"/>
  <c r="I82" i="1"/>
  <c r="F82" i="1"/>
  <c r="C82" i="1"/>
  <c r="J81" i="1"/>
  <c r="I81" i="1" s="1"/>
  <c r="F81" i="1"/>
  <c r="C81" i="1"/>
  <c r="I80" i="1"/>
  <c r="F80" i="1"/>
  <c r="C80" i="1"/>
  <c r="J79" i="1"/>
  <c r="I79" i="1" s="1"/>
  <c r="F79" i="1"/>
  <c r="C79" i="1"/>
  <c r="I78" i="1"/>
  <c r="F78" i="1"/>
  <c r="C78" i="1"/>
  <c r="I77" i="1"/>
  <c r="F77" i="1"/>
  <c r="C77" i="1"/>
  <c r="L81" i="1" l="1"/>
  <c r="L80" i="1"/>
  <c r="L79" i="1"/>
  <c r="L78" i="1"/>
  <c r="L82" i="1"/>
  <c r="L77" i="1"/>
  <c r="D56" i="1" l="1"/>
  <c r="G19" i="1" l="1"/>
  <c r="H19" i="1"/>
  <c r="H20" i="1"/>
  <c r="F20" i="1" s="1"/>
  <c r="G18" i="1"/>
  <c r="H18" i="1"/>
  <c r="G16" i="1" l="1"/>
  <c r="H16" i="1"/>
  <c r="G15" i="1"/>
  <c r="D152" i="1" l="1"/>
  <c r="D154" i="1" l="1"/>
  <c r="I97" i="1" l="1"/>
  <c r="F97" i="1"/>
  <c r="C97" i="1"/>
  <c r="C92" i="1"/>
  <c r="I92" i="1"/>
  <c r="F92" i="1"/>
  <c r="I91" i="1"/>
  <c r="F91" i="1"/>
  <c r="C91" i="1"/>
  <c r="C87" i="1"/>
  <c r="L87" i="1" s="1"/>
  <c r="L97" i="1" l="1"/>
  <c r="L91" i="1"/>
  <c r="L92" i="1"/>
  <c r="C69" i="1" l="1"/>
  <c r="F69" i="1"/>
  <c r="I69" i="1"/>
  <c r="C70" i="1"/>
  <c r="F70" i="1"/>
  <c r="I70" i="1"/>
  <c r="L69" i="1" l="1"/>
  <c r="L70" i="1"/>
  <c r="E56" i="1"/>
  <c r="I39" i="1"/>
  <c r="F39" i="1"/>
  <c r="C39" i="1"/>
  <c r="I38" i="1"/>
  <c r="F38" i="1"/>
  <c r="C38" i="1"/>
  <c r="I37" i="1"/>
  <c r="F37" i="1"/>
  <c r="C37" i="1"/>
  <c r="L39" i="1" l="1"/>
  <c r="L37" i="1"/>
  <c r="L38" i="1"/>
  <c r="I16" i="1"/>
  <c r="F16" i="1"/>
  <c r="C16" i="1"/>
  <c r="L16" i="1" l="1"/>
  <c r="J209" i="1" l="1"/>
  <c r="K185" i="1" l="1"/>
  <c r="K166" i="1"/>
  <c r="J152" i="1"/>
  <c r="J151" i="1"/>
  <c r="C153" i="1"/>
  <c r="F153" i="1"/>
  <c r="I153" i="1"/>
  <c r="L153" i="1" l="1"/>
  <c r="J76" i="1"/>
  <c r="J75" i="1"/>
  <c r="J90" i="1"/>
  <c r="D59" i="1"/>
  <c r="J60" i="1"/>
  <c r="J59" i="1"/>
  <c r="J36" i="1"/>
  <c r="J14" i="1" l="1"/>
  <c r="J15" i="1"/>
  <c r="K13" i="1"/>
  <c r="F14" i="1" l="1"/>
  <c r="F15" i="1"/>
  <c r="J12" i="1" l="1"/>
  <c r="K12" i="1"/>
  <c r="I12" i="1" s="1"/>
  <c r="J9" i="1"/>
  <c r="K9" i="1"/>
  <c r="C5" i="1"/>
  <c r="F5" i="1"/>
  <c r="I5" i="1"/>
  <c r="D6" i="1"/>
  <c r="E6" i="1"/>
  <c r="G6" i="1"/>
  <c r="H6" i="1"/>
  <c r="K6" i="1"/>
  <c r="C9" i="1"/>
  <c r="F9" i="1"/>
  <c r="C10" i="1"/>
  <c r="F10" i="1"/>
  <c r="I10" i="1"/>
  <c r="C11" i="1"/>
  <c r="F11" i="1"/>
  <c r="I11" i="1"/>
  <c r="C12" i="1"/>
  <c r="F12" i="1"/>
  <c r="C13" i="1"/>
  <c r="F13" i="1"/>
  <c r="I13" i="1"/>
  <c r="C14" i="1"/>
  <c r="I14" i="1"/>
  <c r="C15" i="1"/>
  <c r="I15" i="1"/>
  <c r="C17" i="1"/>
  <c r="F17" i="1"/>
  <c r="I17" i="1"/>
  <c r="C18" i="1"/>
  <c r="F18" i="1"/>
  <c r="I18" i="1"/>
  <c r="C19" i="1"/>
  <c r="F19" i="1"/>
  <c r="I19" i="1"/>
  <c r="C20" i="1"/>
  <c r="I20" i="1"/>
  <c r="C21" i="1"/>
  <c r="F21" i="1"/>
  <c r="I21" i="1"/>
  <c r="D28" i="1"/>
  <c r="E28" i="1"/>
  <c r="G28" i="1"/>
  <c r="H28" i="1"/>
  <c r="C31" i="1"/>
  <c r="F31" i="1"/>
  <c r="I31" i="1"/>
  <c r="C32" i="1"/>
  <c r="F32" i="1"/>
  <c r="I32" i="1"/>
  <c r="D33" i="1"/>
  <c r="E33" i="1"/>
  <c r="G33" i="1"/>
  <c r="H33" i="1"/>
  <c r="J33" i="1"/>
  <c r="K33" i="1"/>
  <c r="C36" i="1"/>
  <c r="F36" i="1"/>
  <c r="I36" i="1"/>
  <c r="C41" i="1"/>
  <c r="F41" i="1"/>
  <c r="I41" i="1"/>
  <c r="C42" i="1"/>
  <c r="F42" i="1"/>
  <c r="I42" i="1"/>
  <c r="C43" i="1"/>
  <c r="F43" i="1"/>
  <c r="I43" i="1"/>
  <c r="C44" i="1"/>
  <c r="F44" i="1"/>
  <c r="I44" i="1"/>
  <c r="C45" i="1"/>
  <c r="F45" i="1"/>
  <c r="I45" i="1"/>
  <c r="C46" i="1"/>
  <c r="F46" i="1"/>
  <c r="I46" i="1"/>
  <c r="C47" i="1"/>
  <c r="F47" i="1"/>
  <c r="I47" i="1"/>
  <c r="C49" i="1"/>
  <c r="F49" i="1"/>
  <c r="I49" i="1"/>
  <c r="C50" i="1"/>
  <c r="F50" i="1"/>
  <c r="I50" i="1"/>
  <c r="C51" i="1"/>
  <c r="F51" i="1"/>
  <c r="I51" i="1"/>
  <c r="C52" i="1"/>
  <c r="F52" i="1"/>
  <c r="I52" i="1"/>
  <c r="G56" i="1"/>
  <c r="H56" i="1"/>
  <c r="K56" i="1"/>
  <c r="C59" i="1"/>
  <c r="F59" i="1"/>
  <c r="I59" i="1"/>
  <c r="C60" i="1"/>
  <c r="F60" i="1"/>
  <c r="C61" i="1"/>
  <c r="F61" i="1"/>
  <c r="I61" i="1"/>
  <c r="D62" i="1"/>
  <c r="E62" i="1"/>
  <c r="G62" i="1"/>
  <c r="H62" i="1"/>
  <c r="K62" i="1"/>
  <c r="C65" i="1"/>
  <c r="F65" i="1"/>
  <c r="I65" i="1"/>
  <c r="C66" i="1"/>
  <c r="F66" i="1"/>
  <c r="I66" i="1"/>
  <c r="C67" i="1"/>
  <c r="F67" i="1"/>
  <c r="I67" i="1"/>
  <c r="C68" i="1"/>
  <c r="F68" i="1"/>
  <c r="I68" i="1"/>
  <c r="D72" i="1"/>
  <c r="E72" i="1"/>
  <c r="G72" i="1"/>
  <c r="H72" i="1"/>
  <c r="J72" i="1"/>
  <c r="K72" i="1"/>
  <c r="C75" i="1"/>
  <c r="F75" i="1"/>
  <c r="I75" i="1"/>
  <c r="C76" i="1"/>
  <c r="F76" i="1"/>
  <c r="I76" i="1"/>
  <c r="C83" i="1"/>
  <c r="F83" i="1"/>
  <c r="I83" i="1"/>
  <c r="C84" i="1"/>
  <c r="F84" i="1"/>
  <c r="I84" i="1"/>
  <c r="C85" i="1"/>
  <c r="F85" i="1"/>
  <c r="I85" i="1"/>
  <c r="C86" i="1"/>
  <c r="F86" i="1"/>
  <c r="I86" i="1"/>
  <c r="C88" i="1"/>
  <c r="F88" i="1"/>
  <c r="I88" i="1"/>
  <c r="C89" i="1"/>
  <c r="F89" i="1"/>
  <c r="I89" i="1"/>
  <c r="C90" i="1"/>
  <c r="F90" i="1"/>
  <c r="I90" i="1"/>
  <c r="C93" i="1"/>
  <c r="F93" i="1"/>
  <c r="I93" i="1"/>
  <c r="C94" i="1"/>
  <c r="F94" i="1"/>
  <c r="I94" i="1"/>
  <c r="C95" i="1"/>
  <c r="F95" i="1"/>
  <c r="I95" i="1"/>
  <c r="C96" i="1"/>
  <c r="F96" i="1"/>
  <c r="I96" i="1"/>
  <c r="F98" i="1"/>
  <c r="E98" i="1" s="1"/>
  <c r="C98" i="1" s="1"/>
  <c r="I98" i="1"/>
  <c r="C99" i="1"/>
  <c r="F99" i="1"/>
  <c r="I99" i="1"/>
  <c r="C100" i="1"/>
  <c r="F100" i="1"/>
  <c r="I100" i="1"/>
  <c r="C101" i="1"/>
  <c r="F101" i="1"/>
  <c r="I101" i="1"/>
  <c r="C102" i="1"/>
  <c r="F102" i="1"/>
  <c r="I102" i="1"/>
  <c r="C103" i="1"/>
  <c r="F103" i="1"/>
  <c r="I103" i="1"/>
  <c r="C104" i="1"/>
  <c r="F104" i="1"/>
  <c r="C105" i="1"/>
  <c r="F105" i="1"/>
  <c r="I105" i="1"/>
  <c r="C106" i="1"/>
  <c r="F106" i="1"/>
  <c r="I106" i="1"/>
  <c r="C107" i="1"/>
  <c r="F107" i="1"/>
  <c r="I107" i="1"/>
  <c r="C108" i="1"/>
  <c r="F108" i="1"/>
  <c r="I108" i="1"/>
  <c r="C109" i="1"/>
  <c r="F109" i="1"/>
  <c r="I109" i="1"/>
  <c r="C110" i="1"/>
  <c r="F110" i="1"/>
  <c r="I110" i="1"/>
  <c r="D112" i="1"/>
  <c r="H112" i="1"/>
  <c r="C116" i="1"/>
  <c r="F116" i="1"/>
  <c r="I116" i="1"/>
  <c r="C117" i="1"/>
  <c r="F117" i="1"/>
  <c r="I117" i="1"/>
  <c r="C118" i="1"/>
  <c r="F118" i="1"/>
  <c r="I118" i="1"/>
  <c r="C119" i="1"/>
  <c r="F119" i="1"/>
  <c r="I119" i="1"/>
  <c r="D120" i="1"/>
  <c r="E120" i="1"/>
  <c r="G120" i="1"/>
  <c r="H120" i="1"/>
  <c r="J120" i="1"/>
  <c r="K120" i="1"/>
  <c r="C123" i="1"/>
  <c r="F123" i="1"/>
  <c r="I123" i="1"/>
  <c r="C124" i="1"/>
  <c r="F124" i="1"/>
  <c r="I124" i="1"/>
  <c r="C125" i="1"/>
  <c r="F125" i="1"/>
  <c r="I125" i="1"/>
  <c r="L126" i="1"/>
  <c r="D127" i="1"/>
  <c r="E127" i="1"/>
  <c r="G127" i="1"/>
  <c r="H127" i="1"/>
  <c r="J127" i="1"/>
  <c r="K127" i="1"/>
  <c r="C130" i="1"/>
  <c r="F130" i="1"/>
  <c r="I130" i="1"/>
  <c r="C131" i="1"/>
  <c r="F131" i="1"/>
  <c r="I131" i="1"/>
  <c r="C132" i="1"/>
  <c r="F132" i="1"/>
  <c r="I132" i="1"/>
  <c r="C133" i="1"/>
  <c r="F133" i="1"/>
  <c r="I133" i="1"/>
  <c r="C134" i="1"/>
  <c r="F134" i="1"/>
  <c r="I134" i="1"/>
  <c r="D135" i="1"/>
  <c r="E135" i="1"/>
  <c r="G135" i="1"/>
  <c r="H135" i="1"/>
  <c r="J135" i="1"/>
  <c r="K135" i="1"/>
  <c r="C138" i="1"/>
  <c r="F138" i="1"/>
  <c r="I138" i="1"/>
  <c r="C141" i="1"/>
  <c r="F141" i="1"/>
  <c r="I141" i="1"/>
  <c r="C142" i="1"/>
  <c r="F142" i="1"/>
  <c r="I142" i="1"/>
  <c r="C143" i="1"/>
  <c r="F143" i="1"/>
  <c r="I143" i="1"/>
  <c r="C144" i="1"/>
  <c r="F144" i="1"/>
  <c r="I144" i="1"/>
  <c r="C145" i="1"/>
  <c r="F145" i="1"/>
  <c r="I145" i="1"/>
  <c r="D146" i="1"/>
  <c r="E146" i="1"/>
  <c r="G146" i="1"/>
  <c r="H146" i="1"/>
  <c r="J146" i="1"/>
  <c r="K146" i="1"/>
  <c r="C149" i="1"/>
  <c r="F149" i="1"/>
  <c r="I149" i="1"/>
  <c r="C150" i="1"/>
  <c r="F150" i="1"/>
  <c r="J154" i="1"/>
  <c r="C151" i="1"/>
  <c r="F151" i="1"/>
  <c r="I151" i="1"/>
  <c r="C152" i="1"/>
  <c r="F152" i="1"/>
  <c r="I152" i="1"/>
  <c r="E154" i="1"/>
  <c r="G154" i="1"/>
  <c r="H154" i="1"/>
  <c r="K154" i="1"/>
  <c r="C157" i="1"/>
  <c r="F157" i="1"/>
  <c r="I157" i="1"/>
  <c r="C158" i="1"/>
  <c r="F158" i="1"/>
  <c r="J159" i="1"/>
  <c r="D159" i="1"/>
  <c r="E159" i="1"/>
  <c r="G159" i="1"/>
  <c r="H159" i="1"/>
  <c r="K159" i="1"/>
  <c r="L161" i="1"/>
  <c r="C162" i="1"/>
  <c r="F162" i="1"/>
  <c r="I162" i="1"/>
  <c r="C165" i="1"/>
  <c r="F165" i="1"/>
  <c r="I165" i="1"/>
  <c r="C166" i="1"/>
  <c r="F166" i="1"/>
  <c r="I166" i="1"/>
  <c r="C167" i="1"/>
  <c r="F167" i="1"/>
  <c r="I167" i="1"/>
  <c r="C168" i="1"/>
  <c r="F168" i="1"/>
  <c r="I168" i="1"/>
  <c r="C169" i="1"/>
  <c r="F169" i="1"/>
  <c r="I169" i="1"/>
  <c r="C170" i="1"/>
  <c r="F170" i="1"/>
  <c r="I170" i="1"/>
  <c r="C171" i="1"/>
  <c r="F171" i="1"/>
  <c r="I171" i="1"/>
  <c r="C172" i="1"/>
  <c r="F172" i="1"/>
  <c r="I172" i="1"/>
  <c r="C173" i="1"/>
  <c r="F173" i="1"/>
  <c r="I173" i="1"/>
  <c r="C174" i="1"/>
  <c r="F174" i="1"/>
  <c r="I174" i="1"/>
  <c r="C175" i="1"/>
  <c r="F175" i="1"/>
  <c r="I175" i="1"/>
  <c r="C176" i="1"/>
  <c r="F176" i="1"/>
  <c r="I176" i="1"/>
  <c r="C177" i="1"/>
  <c r="F177" i="1"/>
  <c r="I177" i="1"/>
  <c r="C178" i="1"/>
  <c r="F178" i="1"/>
  <c r="I178" i="1"/>
  <c r="C179" i="1"/>
  <c r="F179" i="1"/>
  <c r="I179" i="1"/>
  <c r="D180" i="1"/>
  <c r="G180" i="1"/>
  <c r="H180" i="1"/>
  <c r="J180" i="1"/>
  <c r="K180" i="1"/>
  <c r="C183" i="1"/>
  <c r="F183" i="1"/>
  <c r="I183" i="1"/>
  <c r="C184" i="1"/>
  <c r="F184" i="1"/>
  <c r="I184" i="1"/>
  <c r="C185" i="1"/>
  <c r="F185" i="1"/>
  <c r="I185" i="1"/>
  <c r="C186" i="1"/>
  <c r="F186" i="1"/>
  <c r="I186" i="1"/>
  <c r="C187" i="1"/>
  <c r="F187" i="1"/>
  <c r="I187" i="1"/>
  <c r="D188" i="1"/>
  <c r="E188" i="1"/>
  <c r="G188" i="1"/>
  <c r="H188" i="1"/>
  <c r="J188" i="1"/>
  <c r="K188" i="1"/>
  <c r="C191" i="1"/>
  <c r="F191" i="1"/>
  <c r="I191" i="1"/>
  <c r="C192" i="1"/>
  <c r="F192" i="1"/>
  <c r="I192" i="1"/>
  <c r="C193" i="1"/>
  <c r="F193" i="1"/>
  <c r="I193" i="1"/>
  <c r="C194" i="1"/>
  <c r="F194" i="1"/>
  <c r="I194" i="1"/>
  <c r="C195" i="1"/>
  <c r="F195" i="1"/>
  <c r="I195" i="1"/>
  <c r="C196" i="1"/>
  <c r="F196" i="1"/>
  <c r="I196" i="1"/>
  <c r="C197" i="1"/>
  <c r="F197" i="1"/>
  <c r="I197" i="1"/>
  <c r="C198" i="1"/>
  <c r="F198" i="1"/>
  <c r="I198" i="1"/>
  <c r="C199" i="1"/>
  <c r="F199" i="1"/>
  <c r="I199" i="1"/>
  <c r="C200" i="1"/>
  <c r="F200" i="1"/>
  <c r="I200" i="1"/>
  <c r="C201" i="1"/>
  <c r="F201" i="1"/>
  <c r="I201" i="1"/>
  <c r="C202" i="1"/>
  <c r="F202" i="1"/>
  <c r="I202" i="1"/>
  <c r="C203" i="1"/>
  <c r="F203" i="1"/>
  <c r="I203" i="1"/>
  <c r="C204" i="1"/>
  <c r="F204" i="1"/>
  <c r="I204" i="1"/>
  <c r="C205" i="1"/>
  <c r="F205" i="1"/>
  <c r="I205" i="1"/>
  <c r="D206" i="1"/>
  <c r="E206" i="1"/>
  <c r="G206" i="1"/>
  <c r="H206" i="1"/>
  <c r="J206" i="1"/>
  <c r="K206" i="1"/>
  <c r="C209" i="1"/>
  <c r="F209" i="1"/>
  <c r="I209" i="1"/>
  <c r="C210" i="1"/>
  <c r="F210" i="1"/>
  <c r="I210" i="1"/>
  <c r="C211" i="1"/>
  <c r="F211" i="1"/>
  <c r="I211" i="1"/>
  <c r="D212" i="1"/>
  <c r="E212" i="1"/>
  <c r="G212" i="1"/>
  <c r="H212" i="1"/>
  <c r="J212" i="1"/>
  <c r="K212" i="1"/>
  <c r="L194" i="1" l="1"/>
  <c r="L198" i="1"/>
  <c r="C62" i="1"/>
  <c r="L61" i="1"/>
  <c r="L50" i="1"/>
  <c r="L44" i="1"/>
  <c r="L36" i="1"/>
  <c r="I33" i="1"/>
  <c r="L18" i="1"/>
  <c r="L186" i="1"/>
  <c r="L179" i="1"/>
  <c r="L157" i="1"/>
  <c r="L138" i="1"/>
  <c r="L123" i="1"/>
  <c r="L119" i="1"/>
  <c r="F154" i="1"/>
  <c r="L187" i="1"/>
  <c r="L183" i="1"/>
  <c r="C146" i="1"/>
  <c r="L110" i="1"/>
  <c r="L105" i="1"/>
  <c r="L83" i="1"/>
  <c r="F72" i="1"/>
  <c r="I212" i="1"/>
  <c r="C212" i="1"/>
  <c r="L200" i="1"/>
  <c r="L196" i="1"/>
  <c r="L5" i="1"/>
  <c r="L21" i="1"/>
  <c r="L17" i="1"/>
  <c r="L209" i="1"/>
  <c r="L95" i="1"/>
  <c r="L59" i="1"/>
  <c r="L32" i="1"/>
  <c r="I9" i="1"/>
  <c r="L9" i="1" s="1"/>
  <c r="L178" i="1"/>
  <c r="L143" i="1"/>
  <c r="I135" i="1"/>
  <c r="L131" i="1"/>
  <c r="C120" i="1"/>
  <c r="L118" i="1"/>
  <c r="I154" i="1"/>
  <c r="L199" i="1"/>
  <c r="C188" i="1"/>
  <c r="F180" i="1"/>
  <c r="L167" i="1"/>
  <c r="L166" i="1"/>
  <c r="L106" i="1"/>
  <c r="L100" i="1"/>
  <c r="L88" i="1"/>
  <c r="L41" i="1"/>
  <c r="F206" i="1"/>
  <c r="F212" i="1"/>
  <c r="L210" i="1"/>
  <c r="L201" i="1"/>
  <c r="F188" i="1"/>
  <c r="L151" i="1"/>
  <c r="I206" i="1"/>
  <c r="L192" i="1"/>
  <c r="L173" i="1"/>
  <c r="C159" i="1"/>
  <c r="L152" i="1"/>
  <c r="I146" i="1"/>
  <c r="L142" i="1"/>
  <c r="F135" i="1"/>
  <c r="I127" i="1"/>
  <c r="F120" i="1"/>
  <c r="L109" i="1"/>
  <c r="L98" i="1"/>
  <c r="L89" i="1"/>
  <c r="L86" i="1"/>
  <c r="L76" i="1"/>
  <c r="L68" i="1"/>
  <c r="L52" i="1"/>
  <c r="L49" i="1"/>
  <c r="L45" i="1"/>
  <c r="J28" i="1"/>
  <c r="L20" i="1"/>
  <c r="F159" i="1"/>
  <c r="C135" i="1"/>
  <c r="F127" i="1"/>
  <c r="I120" i="1"/>
  <c r="F146" i="1"/>
  <c r="L195" i="1"/>
  <c r="C154" i="1"/>
  <c r="L96" i="1"/>
  <c r="F62" i="1"/>
  <c r="F33" i="1"/>
  <c r="F28" i="1"/>
  <c r="I188" i="1"/>
  <c r="L168" i="1"/>
  <c r="L103" i="1"/>
  <c r="L66" i="1"/>
  <c r="L65" i="1"/>
  <c r="L12" i="1"/>
  <c r="L211" i="1"/>
  <c r="L205" i="1"/>
  <c r="L202" i="1"/>
  <c r="L203" i="1"/>
  <c r="C206" i="1"/>
  <c r="L204" i="1"/>
  <c r="L184" i="1"/>
  <c r="L185" i="1"/>
  <c r="I180" i="1"/>
  <c r="L170" i="1"/>
  <c r="L175" i="1"/>
  <c r="L174" i="1"/>
  <c r="L169" i="1"/>
  <c r="L176" i="1"/>
  <c r="L171" i="1"/>
  <c r="L177" i="1"/>
  <c r="L172" i="1"/>
  <c r="L165" i="1"/>
  <c r="L162" i="1"/>
  <c r="I159" i="1"/>
  <c r="L149" i="1"/>
  <c r="L145" i="1"/>
  <c r="L144" i="1"/>
  <c r="L141" i="1"/>
  <c r="L132" i="1"/>
  <c r="L134" i="1"/>
  <c r="L133" i="1"/>
  <c r="L130" i="1"/>
  <c r="L124" i="1"/>
  <c r="C127" i="1"/>
  <c r="L125" i="1"/>
  <c r="L116" i="1"/>
  <c r="L117" i="1"/>
  <c r="L93" i="1"/>
  <c r="L107" i="1"/>
  <c r="L90" i="1"/>
  <c r="L84" i="1"/>
  <c r="L108" i="1"/>
  <c r="L101" i="1"/>
  <c r="L99" i="1"/>
  <c r="L94" i="1"/>
  <c r="L85" i="1"/>
  <c r="L75" i="1"/>
  <c r="I72" i="1"/>
  <c r="L67" i="1"/>
  <c r="C72" i="1"/>
  <c r="F56" i="1"/>
  <c r="L51" i="1"/>
  <c r="L46" i="1"/>
  <c r="L42" i="1"/>
  <c r="C56" i="1"/>
  <c r="L47" i="1"/>
  <c r="L43" i="1"/>
  <c r="L31" i="1"/>
  <c r="C33" i="1"/>
  <c r="L13" i="1"/>
  <c r="L15" i="1"/>
  <c r="F6" i="1"/>
  <c r="E180" i="1"/>
  <c r="I158" i="1"/>
  <c r="L158" i="1" s="1"/>
  <c r="I150" i="1"/>
  <c r="L150" i="1" s="1"/>
  <c r="E112" i="1"/>
  <c r="J56" i="1"/>
  <c r="I56" i="1" s="1"/>
  <c r="K28" i="1"/>
  <c r="C6" i="1"/>
  <c r="J6" i="1"/>
  <c r="I6" i="1" s="1"/>
  <c r="J62" i="1"/>
  <c r="I62" i="1" s="1"/>
  <c r="I60" i="1"/>
  <c r="L60" i="1" s="1"/>
  <c r="L19" i="1"/>
  <c r="L10" i="1"/>
  <c r="K112" i="1"/>
  <c r="C28" i="1"/>
  <c r="L14" i="1"/>
  <c r="L11" i="1"/>
  <c r="I28" i="1" l="1"/>
  <c r="L28" i="1" s="1"/>
  <c r="L62" i="1"/>
  <c r="L33" i="1"/>
  <c r="C180" i="1"/>
  <c r="L180" i="1" s="1"/>
  <c r="C112" i="1"/>
  <c r="L212" i="1"/>
  <c r="L135" i="1"/>
  <c r="L146" i="1"/>
  <c r="L72" i="1"/>
  <c r="L120" i="1"/>
  <c r="L127" i="1"/>
  <c r="L188" i="1"/>
  <c r="L159" i="1"/>
  <c r="L154" i="1"/>
  <c r="L206" i="1"/>
  <c r="L56" i="1"/>
  <c r="L6" i="1"/>
  <c r="F87" i="1"/>
  <c r="G112" i="1"/>
  <c r="F112" i="1" s="1"/>
  <c r="I104" i="1"/>
  <c r="L104" i="1" s="1"/>
  <c r="J112" i="1"/>
  <c r="I112" i="1" s="1"/>
  <c r="L112" i="1" s="1"/>
</calcChain>
</file>

<file path=xl/sharedStrings.xml><?xml version="1.0" encoding="utf-8"?>
<sst xmlns="http://schemas.openxmlformats.org/spreadsheetml/2006/main" count="492" uniqueCount="418">
  <si>
    <t>შესრულებული სამუშაოები</t>
  </si>
  <si>
    <t>ადგ.დაფინანსებით</t>
  </si>
  <si>
    <t>სახ.დაფინანსებით</t>
  </si>
  <si>
    <t>ხელშკრულებით</t>
  </si>
  <si>
    <t>ადგ.დაფინანს.</t>
  </si>
  <si>
    <t xml:space="preserve"> სახ.დაფინანს.</t>
  </si>
  <si>
    <t>სულ ფაქტი</t>
  </si>
  <si>
    <t>ფაქტი ადგ.დაფინანს.</t>
  </si>
  <si>
    <t>ფაქტი სახ.დაფინანს.</t>
  </si>
  <si>
    <t>სამუშაოთა შესრულების ვადები</t>
  </si>
  <si>
    <t xml:space="preserve">ხელშეკრულების ნომერი </t>
  </si>
  <si>
    <t>მომწოდებელი</t>
  </si>
  <si>
    <t>02 01 01 01</t>
  </si>
  <si>
    <t>გზების მიდინარე შეკეთება</t>
  </si>
  <si>
    <t>48/1</t>
  </si>
  <si>
    <t>სულ</t>
  </si>
  <si>
    <t>02 01 02</t>
  </si>
  <si>
    <t>ახალი გზების მშენებლობა</t>
  </si>
  <si>
    <t>შპს დინ გრუპი</t>
  </si>
  <si>
    <t>02 01 03</t>
  </si>
  <si>
    <t>საგზაო ნიშნები და უსაფრთხოება</t>
  </si>
  <si>
    <t>02 02 01</t>
  </si>
  <si>
    <t>სასმელი წყლის სისტემის რეაბილიტაცია</t>
  </si>
  <si>
    <t>02 03 01</t>
  </si>
  <si>
    <t>გარე განათების ქსელის ექსპლოატაცია</t>
  </si>
  <si>
    <t>02 03 02</t>
  </si>
  <si>
    <t>გარე განათების ახალი წერტილების მოწყობა</t>
  </si>
  <si>
    <t>02 04</t>
  </si>
  <si>
    <t>ავარიული შენობების და სახლების რეაბილიტაცია</t>
  </si>
  <si>
    <t>02 05</t>
  </si>
  <si>
    <t>კეთილმოწყობა</t>
  </si>
  <si>
    <t>02 05 01</t>
  </si>
  <si>
    <t>საზოგადოებრივი სივრცეების მოწყობა-რეაბილიტაცია, ექსპლოატაცია</t>
  </si>
  <si>
    <t>02 05 02</t>
  </si>
  <si>
    <t>შენობის ფასადების რეაბილიტაცია</t>
  </si>
  <si>
    <t>02 06</t>
  </si>
  <si>
    <t>სარწყავი არხების და ნაპირსამაგრი ნაგებობების მოწყობა, რეაბილიტაცია და ექსპლოატაცია</t>
  </si>
  <si>
    <t>02 07</t>
  </si>
  <si>
    <t>სასაფლაოების მოვლა და შემოღობვა</t>
  </si>
  <si>
    <t xml:space="preserve">02 08 </t>
  </si>
  <si>
    <t>სოფლის მხარდაჭერის პროგრამა</t>
  </si>
  <si>
    <t>03 01 01</t>
  </si>
  <si>
    <t>დასუფთავება და ნარჩენების გატანა</t>
  </si>
  <si>
    <t>03 02</t>
  </si>
  <si>
    <t>მწვანე ნარგავების მოვლა-პატრონობა, განვითარება</t>
  </si>
  <si>
    <t>კაპიტალური დაბანდებანი დასუფთავების სფეროში</t>
  </si>
  <si>
    <t>04 02</t>
  </si>
  <si>
    <t>სკოლამდელი დაწესებულებების რეაბილიტაცია, მშენებლობა</t>
  </si>
  <si>
    <t>04 04</t>
  </si>
  <si>
    <t>საჯარო სკოლების მცირე სარეაბილიტაციო სამუშაოები და მოსწავლეთა ტრანსპორტირების უზრუნველყოფა</t>
  </si>
  <si>
    <t>05 01 03</t>
  </si>
  <si>
    <t>სპორტული ობიექტების აღჭურვა, რეაბილიტაცია, მშენებლობა</t>
  </si>
  <si>
    <t>06 01 02</t>
  </si>
  <si>
    <t>სოფლის ამბულატორიების ხელშეწყობა და ჯანდაცვის ობიექტების მშენებლობა-რეაბილიტაცია</t>
  </si>
  <si>
    <t>117/2</t>
  </si>
  <si>
    <t>116/1</t>
  </si>
  <si>
    <t>113/1</t>
  </si>
  <si>
    <t>შპს იბერი</t>
  </si>
  <si>
    <t>ქ.საგარეჯოში იმედის ქუჩაზე N15 და N17 საცხოვრებელი კორპუსების ეზოების მოასფალტების სამუშაოები</t>
  </si>
  <si>
    <t>შპს ენ-დი-როუდი</t>
  </si>
  <si>
    <t>სოფელ გიორგიწმინდაში სასაფლაოს გზის ცემენტ-ბეტონით მოწყობის სამუშაოები</t>
  </si>
  <si>
    <t>შპს აგა</t>
  </si>
  <si>
    <t>ქ. საგარეჯოს და მუნიციპალიტეტის სოფლების დაზიანებული ასფალტბეტონის გზის ორმოული შეკეთების სამუშაოები</t>
  </si>
  <si>
    <t>შპს ჯე-ბილინგ გრუპი</t>
  </si>
  <si>
    <t>სასმელი წყლის ჭაბურღილებზე დახარჯული ელენერგიის ხარჯი აბN9701762761,9310013550</t>
  </si>
  <si>
    <t>წერილი N 26-10012022-88252</t>
  </si>
  <si>
    <t>სს ეპ-ჯორჯია</t>
  </si>
  <si>
    <t>სოფ. კაზლარის წყალმომარაგების სისტემის სრულფასოვანი ფუნქციონირებისათვის ახალი ელ. აღრიცხვის კვანძის მოწყობის ხარჯი</t>
  </si>
  <si>
    <t>წერილი N 1179-01022022-87465</t>
  </si>
  <si>
    <t>სს ენერგო-პრო-ჯორჯია</t>
  </si>
  <si>
    <t xml:space="preserve">სოფ. კაზლარის წყალმომარაგებისათვის საქლორატოროსთან ახალი ელ. აღრიცხვის კვანძის მოწყობის ხარჯი </t>
  </si>
  <si>
    <t>წერილი N 1301-02022022-77601</t>
  </si>
  <si>
    <t>სოფ. პატარძეული სკოლამდელი აღზრდის დაწესებულებასთან არსებული ჭაბურღილზე ახალი სამფაზიანი 380ვ/სიმძლავრის აღრიცხვის კვანძის მოწყობის საფასური</t>
  </si>
  <si>
    <t>საკანალიზაციო და წყლის მომარაგების სისტემის რეკონსტრუქცია/კაპიტალური რემონტი</t>
  </si>
  <si>
    <t>შპს ბურღი</t>
  </si>
  <si>
    <t>წერილი N26-10012022-88252</t>
  </si>
  <si>
    <t>სასმელი წყლის მილებისა და ავზებისათვის თბოსაიზოლაციო მასალების შესყიდვის ხარჯი</t>
  </si>
  <si>
    <t>13,01,2022-</t>
  </si>
  <si>
    <t>4/1</t>
  </si>
  <si>
    <t>შპს გეგა 2018</t>
  </si>
  <si>
    <t>ქ.საგარეჯოში კახეთის გზ. N110-ს ეზოში არსებული ორი საკანალიზაციო ჭის გაწმენდის მომსახურება</t>
  </si>
  <si>
    <t>12/2</t>
  </si>
  <si>
    <t>ი.მ. გიორგი ვარაზიშვილი</t>
  </si>
  <si>
    <t>სოფ. შიბლიანში ლითონის რეზერვუარის  და წყალმომარაგების ქსელის რეაბილიტაციის საპროექტო-სახარჯთაღრიცხვო დოკუმენტაციის შედგენის ხარჯი</t>
  </si>
  <si>
    <t>შპს ელკო</t>
  </si>
  <si>
    <t>ქ. საგარეჯოს კახეთის გზტკ. N10 კორპ. საკანალიზაციო სისტემის გაწმენდის მომსახურების ხარჯი</t>
  </si>
  <si>
    <t>2</t>
  </si>
  <si>
    <t>22/1</t>
  </si>
  <si>
    <t>ქუჩების გარე განათებაზე დახარჯული ელეენერგიის ხარჯი</t>
  </si>
  <si>
    <t>საგარეჯოსნმუნიციპალიტეტის ქუჩის გარე განათების ტექნიკური მომსახურების შესყიდვა</t>
  </si>
  <si>
    <t>157/2</t>
  </si>
  <si>
    <t>ი.მ. ვახტანგ ესაიაშვილი</t>
  </si>
  <si>
    <t>სოფ. გიორგიწმინდის ე.წ. ,,აჭარლების დასახლებაში" ახალი ელ.აღრიცხვის კვანძის მოწყობის ხარჯი</t>
  </si>
  <si>
    <t>წერილი N1161-01022022-71309</t>
  </si>
  <si>
    <t>სოფ. სასდილოში ე.წ. ,,აჭარლების დასახლებაში" ახალი ელ.აღრიცხვის კვანძის მოწყობის ხარჯი</t>
  </si>
  <si>
    <t>21,01,2022-</t>
  </si>
  <si>
    <t>8/5</t>
  </si>
  <si>
    <t>ი.მ. გელა რევაზიშვილი</t>
  </si>
  <si>
    <t>117/3</t>
  </si>
  <si>
    <t>ი.მ. ზაქარია დარისპანაშვილი</t>
  </si>
  <si>
    <t>151</t>
  </si>
  <si>
    <t>152</t>
  </si>
  <si>
    <t>ი.მ ამირან როსტომაშვილი</t>
  </si>
  <si>
    <t>ქ.საგარეჯოში რუსთაველის ქუჩაზე მდებარე #178 კორპუსის ფასადის მოპირკეთების სამუშაოები</t>
  </si>
  <si>
    <t>ქ.საგარეჯოში რუსთაველის ქუჩაზე მდებარე #167 კორპუსის ფასადის მოპირკეთების სამუშაოები</t>
  </si>
  <si>
    <t>118/1</t>
  </si>
  <si>
    <t>შპს ინ. გრუპი</t>
  </si>
  <si>
    <t>116/4</t>
  </si>
  <si>
    <t>ი.მ. დავით კავთუაშვილი</t>
  </si>
  <si>
    <t>158/4</t>
  </si>
  <si>
    <t>150/6</t>
  </si>
  <si>
    <t>ი.მ. ნოდარ ხებრელაშვილი</t>
  </si>
  <si>
    <t>ქ.საგარეჯოში მშვიდობის ქუჩაN12-ში მცხოვრები ბეჟან გრატიაშვილის სტიქიით დაზიანებული საცხ.სახლის სახურავის შეკეთების სამუშაოები</t>
  </si>
  <si>
    <t>97/1</t>
  </si>
  <si>
    <t>შპს ზზ კონსტრაქშენ</t>
  </si>
  <si>
    <t>150/5</t>
  </si>
  <si>
    <t>შპს ახალი მშენებელი 2019</t>
  </si>
  <si>
    <t>150/7</t>
  </si>
  <si>
    <t>150/8</t>
  </si>
  <si>
    <t>შპს ნიუ ქონსთრაქშენი</t>
  </si>
  <si>
    <t>150/9</t>
  </si>
  <si>
    <t>ი.მ. როინი ფირყულაშვილი</t>
  </si>
  <si>
    <t>სოფ.უდაბნოში სკოლამდელი აღზრდის დაწესებულების აღდგენითი სამუშაოები</t>
  </si>
  <si>
    <t xml:space="preserve"> სოფ.წყაროსთავის სკოლამდელი  აღზრდის  დაწ. გაფართოვების (ორი ოთახის მიშენება) სამუშაოები</t>
  </si>
  <si>
    <t>110/4</t>
  </si>
  <si>
    <t>შპს მეგა 8</t>
  </si>
  <si>
    <t>შპს სამშენებლო კომპანია ალფა</t>
  </si>
  <si>
    <t>შპს მეტალ +</t>
  </si>
  <si>
    <t>სოფ.გიორგიწმინდის საბავშვო ბაღის რეაბილიტაციის სამუშაოები</t>
  </si>
  <si>
    <t>სოფ.პატარძეულის საბავშვო ბაღის რეაბილიტაციის სამუშაოები</t>
  </si>
  <si>
    <t>99</t>
  </si>
  <si>
    <t>სოფ.კაკაბეთში სკოლამდელი აღზრდის დაწესებულებიდან დასაწყობებული ვარგისი  სამშენებლო მასალის გადასატანად სპეცტექნიკის დაქირავება</t>
  </si>
  <si>
    <t>21/1</t>
  </si>
  <si>
    <t>ი.მ. გიორგი გაგნიაშვილი</t>
  </si>
  <si>
    <t>შპს ბინუ</t>
  </si>
  <si>
    <t>154</t>
  </si>
  <si>
    <t>შემოსავალი ხელშეკრულების პირობების დარღვევის გამო დაკისრებული პირგასამტეხლოდან(ს/კ202456430 შ.პ.ს "ბეგი ჯორჯია"</t>
  </si>
  <si>
    <t>შემოსავალი ხელშეკრულების პირობების დარღვევის გამო დაკისრებული პირგასამტეხლოდან(ს/კ 202172978 შ.პ.ს "მაია")</t>
  </si>
  <si>
    <t>სოფელ შიბლიანში მინი სტადიონის მოწყობა</t>
  </si>
  <si>
    <t>სოფ.უდაბნოში სპორტული დარბაზის მშენებლობის სამუშაოები</t>
  </si>
  <si>
    <t>64</t>
  </si>
  <si>
    <t>შპს ბეგი ჯორჯია</t>
  </si>
  <si>
    <t>88/2</t>
  </si>
  <si>
    <t>შპს მაია</t>
  </si>
  <si>
    <t>05,05,2021-03,08,2021</t>
  </si>
  <si>
    <t>29,09,2021-17,11,2021</t>
  </si>
  <si>
    <t>22,09,2021-03,11,2021</t>
  </si>
  <si>
    <t>04,08,2021-05,10,2021</t>
  </si>
  <si>
    <t>28,09,2021-30,11,2021</t>
  </si>
  <si>
    <t>12,01,2021-31,12,2021</t>
  </si>
  <si>
    <t>30,09,2021-19,11,2021</t>
  </si>
  <si>
    <t>23,12,2021-1301,2021</t>
  </si>
  <si>
    <t>04,10,2021-20,12,2021</t>
  </si>
  <si>
    <t>21,12,2021-11,01,2022</t>
  </si>
  <si>
    <t>18,08,2021-06,10,2021</t>
  </si>
  <si>
    <t>21,12,2021-25,01,2022</t>
  </si>
  <si>
    <t>21,12,2021-01,02,2022</t>
  </si>
  <si>
    <t>14,09,2021-16,11,2021</t>
  </si>
  <si>
    <t>09,11,2021-08,03,2022</t>
  </si>
  <si>
    <t>17,01,2022-</t>
  </si>
  <si>
    <t>31,08,2021-30,11,2021</t>
  </si>
  <si>
    <t>20,08,2021-19,11,2021</t>
  </si>
  <si>
    <t>25,02,2021-31,12,2021</t>
  </si>
  <si>
    <t>10,06,2021-07,10,2021</t>
  </si>
  <si>
    <t>28,07,2021-29,09,2021</t>
  </si>
  <si>
    <t>საავტომობილო  გზების სარეაბილიტაციო  სამუშაოების  საპროექტო სახარჯთაღრიცხვო დოკუმენტაციის შედგენის მომსახურება</t>
  </si>
  <si>
    <t>შპს თბილგზაპროექტი</t>
  </si>
  <si>
    <t>სს ,,კავკასავტომაგისტრალი"</t>
  </si>
  <si>
    <t>116/2</t>
  </si>
  <si>
    <t>კავკასავტომაგისტრალი</t>
  </si>
  <si>
    <t>18.02.2021-18.02.2022</t>
  </si>
  <si>
    <t>86/1</t>
  </si>
  <si>
    <t>2.08.2021-1.11.2021</t>
  </si>
  <si>
    <t>23,07,2021-18.02.2022</t>
  </si>
  <si>
    <t>86/3</t>
  </si>
  <si>
    <t>საგარეჯოს მუნიც.კახეთის გზატკეცილზე მდ.რკინის კონსტრუქციაზე განსათავსებლად საინფორმაციო ბანერის "ატარე პირბადე" შესყიდვა</t>
  </si>
  <si>
    <t>შპს კოპიპრინტ-2000</t>
  </si>
  <si>
    <t>საგარეჯოს მუნიციპალიტეტის ბალანსზე არსებული ვიდეოსათვალთვალო კამერების მოვლა-პატრონობის მომსახურების შესყიდვა</t>
  </si>
  <si>
    <t>28.08.2021-31.03.2023</t>
  </si>
  <si>
    <t>101/1</t>
  </si>
  <si>
    <t>შპს დელტა კონსალტინგი</t>
  </si>
  <si>
    <t>ი/მ ომარი ვარაზიშვილი</t>
  </si>
  <si>
    <t>10</t>
  </si>
  <si>
    <t>შპს შპს თერგი</t>
  </si>
  <si>
    <t>21</t>
  </si>
  <si>
    <t>შპს შპს ახალი მშენებელი 2019</t>
  </si>
  <si>
    <t>25/1</t>
  </si>
  <si>
    <t>8/4</t>
  </si>
  <si>
    <t>8/6</t>
  </si>
  <si>
    <t>17</t>
  </si>
  <si>
    <t>20/1</t>
  </si>
  <si>
    <t>ქ.საგარეჯოში დავით აღმაშენებლის ქუჩაზე საახალწლო გაფორმების სამუშაოები</t>
  </si>
  <si>
    <t>ქ.საგარეჯოში რუსთაველის ქუჩაზე მდებარე #176 კორპუსის ფასადის მოპირკეთების სამუშაოები</t>
  </si>
  <si>
    <t>ქ.საგარეჯოში რუსთაველის ქუჩაზე მდებარე #174 კორპუსის ფასადის მოპირკეთების სამუშაოები</t>
  </si>
  <si>
    <t>26</t>
  </si>
  <si>
    <t>6/4</t>
  </si>
  <si>
    <t>შპს შპს ხუროთმოძღვარი &lt;ე და მ&gt;</t>
  </si>
  <si>
    <t>ი/მ დავითი კავთუაშვილი</t>
  </si>
  <si>
    <t>24</t>
  </si>
  <si>
    <t>ქ.საგარეჯოში ერეკლე მეორის ქ#74-ში მდებარე მრავალბინიანი საცხ.სახლის სახურავის -პარაპეტის სარეაბილიტაციო სამუშაოები</t>
  </si>
  <si>
    <t>ი/მ ალექსანდრე დიღმელაშვილი</t>
  </si>
  <si>
    <t>155/1</t>
  </si>
  <si>
    <t>28,12,2021-02,01,2022</t>
  </si>
  <si>
    <t>36/2</t>
  </si>
  <si>
    <t>მუნიც.ტერიტ.მდებარე უძრავი ქონების საკადასტრო აზომვითი-აგეგმვითი ნახაზების შედგენის მომსახურება</t>
  </si>
  <si>
    <t xml:space="preserve"> შპს ერისი</t>
  </si>
  <si>
    <t>05,03,2021-31,12,2021</t>
  </si>
  <si>
    <t>157/6</t>
  </si>
  <si>
    <t xml:space="preserve"> შპს პროგრესი- 2011</t>
  </si>
  <si>
    <t>158/3</t>
  </si>
  <si>
    <t>მუნიც.სოფლებიდან საყოფაცხ.ნარჩენების შეგროვება გატანა ნაგავსაყრელზე და ქ.საგარეჯოს ქუჩებში განთ.ნაგავშემკრები კონტ.საყოფაცხ.ნარჩენ.გატანა</t>
  </si>
  <si>
    <t xml:space="preserve"> შპს პროგრესი- 2012</t>
  </si>
  <si>
    <t>152/1</t>
  </si>
  <si>
    <t>მუნიციპალიტეტის ტერიტორიაზე არსებული  საავტომობილო გზებისთვის ტექნიკური მარილის შესყიდვა</t>
  </si>
  <si>
    <t>ს.გომბორის ს/ბაღის   აღსაზრდელთათვის  სამგზავრო სატრანსპორტო საშუალებათა  დაქირავების  მომს.</t>
  </si>
  <si>
    <t>ი/მ გიორგი ხუმარაშვილი</t>
  </si>
  <si>
    <t>9</t>
  </si>
  <si>
    <t>ს.დიდი ჩაილურის სკოლამდელი აღზრდის დაწესებულების რეაბილიტაციის სამუშაოები</t>
  </si>
  <si>
    <t>110/5</t>
  </si>
  <si>
    <t>14,09,2021-14,12,2021</t>
  </si>
  <si>
    <t>131</t>
  </si>
  <si>
    <t>8/3</t>
  </si>
  <si>
    <t>9/1</t>
  </si>
  <si>
    <t>5/1</t>
  </si>
  <si>
    <t>სოფ.გიორგიწმინდის სპორტული დარბაზის დაზიანებული სახურავის რეაბილიტაციის სამ საპროექტო სახარჯ დოკუმ შედ ღირ</t>
  </si>
  <si>
    <t>ს.პატარძეულში არსებ. სპორტული დარბაზის სრულფასოვანი ფუნქციონირებისთვის 300გრძ.მ. ელსადენის შესყიდვა</t>
  </si>
  <si>
    <t>შემოსავალი ხელშეკრულების პირობების დარღვევის გამო დაკისრებული პირგასამტეხლოდან (ს/კ 202172978 შ.პ.ს "მაია")</t>
  </si>
  <si>
    <t>ს.თულარში მინი სტადიონის მოწყობის სამუშაოები</t>
  </si>
  <si>
    <t>ს.გიორგიწმინდაში მდებარე სპორტული დარბაზის  დაზიანებული სახურავის რეაბილიტაცია-მოწყობის სამუშაოები</t>
  </si>
  <si>
    <t>შპს შპს  გეგა 2018</t>
  </si>
  <si>
    <t>შპს შპს მაია</t>
  </si>
  <si>
    <t>29/2</t>
  </si>
  <si>
    <t>21.05.2021-23.07.2021</t>
  </si>
  <si>
    <t>55/4</t>
  </si>
  <si>
    <t>უდაბნოს ექიმის მომსახურება</t>
  </si>
  <si>
    <t>ქალაქ საგარეჯოს ცენტრალურ ნაწილში ახალი რეკრეაციული და გასართობი არეალის მოწყობა განკ.#1419 16.08.2021</t>
  </si>
  <si>
    <t>30,12,2021-31.03.2022</t>
  </si>
  <si>
    <t>157/1</t>
  </si>
  <si>
    <t>შ.პ.ს. მეტალ+</t>
  </si>
  <si>
    <t>8/2</t>
  </si>
  <si>
    <t>სოფელ კაკაბეთში ღვთისმშობლის ეკლესიასთან მისასვლელი  გზის მოასფალტება მთავრ.  N75 17.01.2022-101.99233; #2685 31.12.2020-0.50 თ.</t>
  </si>
  <si>
    <t>სოფელ კაკაბეთში ე.წ. "ღვინაანთ" უბნის გზის მოასფალტება მთავრ.  განკ N75 17.01.2022-166.30273;  #2685 31.12.2020-29.55629</t>
  </si>
  <si>
    <t>საგარეჯოს მუნიციპალიტეტის ქალაქ საგარეჯოში მშვიდობის ქუჩის მოასფალტების სამუშაოები.განკ#2685, 31.12.2020-19.26870; N75 17.01.2022-253.52145</t>
  </si>
  <si>
    <t>საგარეჯოს მუნიციპალიტეტის ქალაქ საგარეჯოში ბარნოვის, რობაქიძესა და 9 ძმის ქუჩების მოასფალტების სამუშაოები.განკ#2685, 31.12.2020-9.97277; N75 17.01.2022-164.59780</t>
  </si>
  <si>
    <t>საგარეჯოს მუნიციპალიტეტის ქალაქ საგარეჯოში ფალიაშვილის ქუჩის მოასფალტების სამუშაოები განკ#2685, 31.12.2020-9.14051;  N75 17.01.2022-2.68569</t>
  </si>
  <si>
    <t xml:space="preserve">განკ#2374 27.12.2021 </t>
  </si>
  <si>
    <t>ქ. საგარეჯოში იმედის ქუჩაზე N19,N21, N23 და N25 კორპუსის ეზოების მოასფალტების სამუშაოები მთა. განკ N75 17.01.2022</t>
  </si>
  <si>
    <t>სოფელ უდაბნოში ჩიჩხიტურის კოშკთან მისასვლელი გზის მოასფალტება მთავრ განკ N2685 31.12.2020</t>
  </si>
  <si>
    <t>განკ#1573 19.08.2020</t>
  </si>
  <si>
    <t>განკ#2685 31.12.2020</t>
  </si>
  <si>
    <t>განკ#330 11.03.2021</t>
  </si>
  <si>
    <t>განკ#2630 18.12.2019</t>
  </si>
  <si>
    <t>21,01,-13.05.2022</t>
  </si>
  <si>
    <t>ინფრასტრუქტურული ობიექტების სამშენებლო სამუშაოებზე საზედამხედველო მომსახურების გაწევა</t>
  </si>
  <si>
    <r>
      <t>შპს</t>
    </r>
    <r>
      <rPr>
        <sz val="8"/>
        <rFont val="Calibri"/>
        <family val="2"/>
        <charset val="204"/>
      </rPr>
      <t xml:space="preserve"> ,,</t>
    </r>
    <r>
      <rPr>
        <sz val="8"/>
        <rFont val="Sylfaen"/>
        <family val="1"/>
        <charset val="204"/>
      </rPr>
      <t>საინჟინრო</t>
    </r>
    <r>
      <rPr>
        <sz val="8"/>
        <rFont val="Calibri"/>
        <family val="2"/>
        <charset val="204"/>
      </rPr>
      <t xml:space="preserve"> </t>
    </r>
    <r>
      <rPr>
        <sz val="8"/>
        <rFont val="Sylfaen"/>
        <family val="1"/>
        <charset val="204"/>
      </rPr>
      <t>მონიტორინგის</t>
    </r>
    <r>
      <rPr>
        <sz val="8"/>
        <rFont val="Calibri"/>
        <family val="2"/>
        <charset val="204"/>
      </rPr>
      <t xml:space="preserve"> </t>
    </r>
    <r>
      <rPr>
        <sz val="8"/>
        <rFont val="Sylfaen"/>
        <family val="1"/>
        <charset val="204"/>
      </rPr>
      <t>ჯგუფი</t>
    </r>
    <r>
      <rPr>
        <sz val="8"/>
        <rFont val="Calibri"/>
        <family val="2"/>
        <charset val="204"/>
      </rPr>
      <t>’’</t>
    </r>
  </si>
  <si>
    <t>9.02.-31.12.2023</t>
  </si>
  <si>
    <t>თავისუფალი რესურსი</t>
  </si>
  <si>
    <t>ს.მ.</t>
  </si>
  <si>
    <t>განსახორციელებელი  წყალმომარაგებისა და წყალარინების ქსელების (სისტემების) მოწყობისა და რეაბილიტაციისათვის საჭირო საპროექტო-სახარჯთაღრიცხვო დოკუმენტაციის შედგენის მომსახურება.</t>
  </si>
  <si>
    <t>შპს ,,ელკო’’</t>
  </si>
  <si>
    <t>განკ#2630 18.12.2019-0.38; #2159 11.10.2019-0.39;</t>
  </si>
  <si>
    <t>განკ#557 18.03.2020-789.17; #1167 9.07.2020-487.73</t>
  </si>
  <si>
    <t xml:space="preserve"> მუნიციპალიტეტის სამოქმედო ტერიტორიაზე სასმელი წყლის ამქაჩი ტუმბოების ან/და მათი კომპლექტის (ახლით) ან/და ხარჯთაღრიცხვებით გათვალისწინებული რომელიმე მოწყობილობის/საქონლის შეძენა-მონტაჟის სამუშაოები</t>
  </si>
  <si>
    <t>17,02,-19.02.2022</t>
  </si>
  <si>
    <t xml:space="preserve"> სოფელ ხაშმიდან ამავე სოფელში მდებარე საქართველოს სამოციქულო ავტოკეფალური მართლმადიდებელი ეკლესიის კუთვნილი ობიექტამდე გარე ელექტრომომარაგების  -  ელექტროგადამცემი ხაზების მშენებლობის სამუშაოები</t>
  </si>
  <si>
    <t>შპს ,,ელექტრონ დე’’</t>
  </si>
  <si>
    <t>36/1</t>
  </si>
  <si>
    <t>21,01,-26.02.2022</t>
  </si>
  <si>
    <t>სოფ.კაკაბეთში მცხოვრები მიხეილ კუპატაძის სტიქიის შედეგად დაზ.საცხოვრებელი სახლის სახურავის მოწყობა განკ. N330 11.03.2021</t>
  </si>
  <si>
    <t>სოფ.ნინოწმინდაში მცხოვრები ვალერი გიუნაშვილის სტიქიის შედეგად დაზ.საცხოვრებელი სახლის სახურავის მოწყობა განკ. N330 11.03.2021</t>
  </si>
  <si>
    <t>ქ.საგარეჯოში მცხოვრები მანანა დათუნაშვილის სტიქიის შედეგად დაზ.საცხოვრებელი სახლის სახურავის მოწყობა განკ. N330 11.03.2021</t>
  </si>
  <si>
    <t>ს.პატარა ჩაილურში მცხოვრები,ნუნუ მაისურაძის სტიქიით დაზიანებული საცხოვრებელი სახლის სახურავის შეცვლა  განკ N330 11.03.2021</t>
  </si>
  <si>
    <t>ს.გიორგიწმინდაში მცხოვრები,ლევან დიღმელაშვილის სტიქიით დაზიანებული საცხოვრებელი სახლის სახურავის შეცვლა  განკ N330 11.03.2021</t>
  </si>
  <si>
    <t>22,12,2021-12.01.2022</t>
  </si>
  <si>
    <t>სოფელ პატარძეულში მცხოვრები ომარ ჯორბენაძეს სტიქიით დაზიანებული სახცოვრებელი სახლის სახურავის მოწყობა განკ N330 11.03.2021</t>
  </si>
  <si>
    <t>31,12,2021-11.11.2022</t>
  </si>
  <si>
    <t>29</t>
  </si>
  <si>
    <t>27.02.2021-27.02.2022</t>
  </si>
  <si>
    <t>შ.პ.ს. საინჟინრო-მონიტორინგი</t>
  </si>
  <si>
    <t>მუნიციპალიტეტის მიერ განსახორციელებელი 50 000 ლარზე მეტი ღირებულების ინფრასტრუქტურული ობიექტების სამშენებლო სამუშაოებზე საზედამხედველო მომსახურების გაწევა</t>
  </si>
  <si>
    <t>საექსპერტო მომსახურების გაწევა</t>
  </si>
  <si>
    <t>ლ.სამხარაულის სახ.ექსერტიზის ერ.ბიურო</t>
  </si>
  <si>
    <t>ნაშთი განკ.#2630 18.12.2019.</t>
  </si>
  <si>
    <t xml:space="preserve">2022 წლის 15 თებერვლის   #277 განკარგულებით </t>
  </si>
  <si>
    <t xml:space="preserve">ნაშთი 2015 წლის  12 მარტის #506 განკარგულებით </t>
  </si>
  <si>
    <t>ნაშთი 2019 წლის 22 იანვარს #45 განკარგულებით</t>
  </si>
  <si>
    <t>ნაშთი 2019 წლის 31 დეკემბერს  #2752 განკარგულებიდან</t>
  </si>
  <si>
    <t xml:space="preserve">ნაშთი 2021 წლის 05 თებერვლის   #168 განკარგულებით </t>
  </si>
  <si>
    <t>სოფ. ყანდაურის საბავშვო ბაღის  სარეაბილიტაციო სამუშაოები განკ.N1266 26.07.2021</t>
  </si>
  <si>
    <t>კაკაბეთის #1 სკოლამდელი დაწესებულების მშენებლობა განკ.#75 17.01.2022-300000; #2685 31.12.2020-900;</t>
  </si>
  <si>
    <t>ნაშთი განკ.#2630 18.12.2019</t>
  </si>
  <si>
    <t>ნაშთი განკ.#27 9.01.2020</t>
  </si>
  <si>
    <t>ს.მ</t>
  </si>
  <si>
    <t>ნაშთი განკ.#147 4.02.2021</t>
  </si>
  <si>
    <t xml:space="preserve">ნაშთი განკ.#2630 18.12.2019 </t>
  </si>
  <si>
    <t xml:space="preserve">გომბორის საჭიდაო დარბაზის რეაბილიტაცია განკ.#2630 18.12.2019 </t>
  </si>
  <si>
    <t>ნაშთი განკ.#554 15.03.2019</t>
  </si>
  <si>
    <t xml:space="preserve">შპს ,,ნ და ლ’’, </t>
  </si>
  <si>
    <t>21.01.-31.12.2022</t>
  </si>
  <si>
    <t xml:space="preserve"> საპროექტო-სახარჯთაღრიცხვო დოკუმენტაციის შედგენის მომსახურება</t>
  </si>
  <si>
    <t>შპს ,,საინჟინრო მონიტორინგის ჯგუფი’’</t>
  </si>
  <si>
    <t>საზედამხედველო მომსახურების გაწევა</t>
  </si>
  <si>
    <t>09,02,2022-31.12.2023</t>
  </si>
  <si>
    <t>21,01,-22.02.2022</t>
  </si>
  <si>
    <t>07,03,-10.03.2022</t>
  </si>
  <si>
    <t>14,01,-18.01.2022</t>
  </si>
  <si>
    <t xml:space="preserve">#75 განკ. </t>
  </si>
  <si>
    <t>შპს ,,კავკასუს მოტორსი’’</t>
  </si>
  <si>
    <t>14.02.-31.08.2022</t>
  </si>
  <si>
    <t xml:space="preserve">სატრანსპორტო საშუალებ(ებ)ის "Mitsubisubishi L 200"-სახელმწიფო შესყიდვა, </t>
  </si>
  <si>
    <t>17,01,-21.03.2022</t>
  </si>
  <si>
    <t>6/1</t>
  </si>
  <si>
    <t>შპს მეგა - 8</t>
  </si>
  <si>
    <t>შპს ,,მაგოილი"</t>
  </si>
  <si>
    <t>11,11,2021-6.07.2022</t>
  </si>
  <si>
    <t xml:space="preserve"> საპროექტო-სახარჯთაღრიცხვო დოკუმენტაციის შედგენის მომსახურება.</t>
  </si>
  <si>
    <t>21,01,-31.12.2022</t>
  </si>
  <si>
    <t xml:space="preserve"> საზედამხედველო მომსახურების გაწევა</t>
  </si>
  <si>
    <t>09,02,-31.12.2022</t>
  </si>
  <si>
    <t>1.11.2021-31.01.2022</t>
  </si>
  <si>
    <t>შ.პ.ს. არქიტრავი</t>
  </si>
  <si>
    <t>ხაშმის საბავშვო ბაღის რეაბილიტაციის სამუშაოები</t>
  </si>
  <si>
    <t>27.12.2021-28.02.2022</t>
  </si>
  <si>
    <t>სოფ.ნინოწმინდის საჯარო სკოლის სარეაბილიტაციო სამუშაოები განკ.N147 4.02.2021</t>
  </si>
  <si>
    <t>ტრანსპორტის დაქირავების (გადაზიდვა-გადაყვანის) ხარჯი  (მიმდინარე წლის ხარჯი) მთავრ. განკ 51 14.01.2022</t>
  </si>
  <si>
    <t>ტრანსპორტის დაქირავების (გადაზიდვა-გადაყვანის) ხარჯი  (მიმდინარე წლის ხარჯი) განკ N51 14.01.2022</t>
  </si>
  <si>
    <t>შ.პ.ს. მაია</t>
  </si>
  <si>
    <t>საგარეჯოს მუნიციპალიტეტის სოფელ ნინოწმინდაში მინი სტადონის მოწყობის სამუშაოების შესყიდვა.</t>
  </si>
  <si>
    <t>10,01,-31.12.2022</t>
  </si>
  <si>
    <t>29.09.2021-17.11.2021 (პირვ. ეტაპი)-1.04.2022 (მეორე ეტაპი)</t>
  </si>
  <si>
    <t>01.01-01,02,2022</t>
  </si>
  <si>
    <t>25,02,-31.122022-</t>
  </si>
  <si>
    <t>9.02.2022-31.12.2023</t>
  </si>
  <si>
    <t>30,12,2021-31.12.2022</t>
  </si>
  <si>
    <t>14,02,-16.05.2022</t>
  </si>
  <si>
    <t>31.12.2021-2.01.2022</t>
  </si>
  <si>
    <t>შ.პ.ს. ჯეო ელექტრიკ</t>
  </si>
  <si>
    <t>01,03-15.03,2022</t>
  </si>
  <si>
    <t>30,09,2021-20,05,2022</t>
  </si>
  <si>
    <t>394.684 გადახ.2021 წ.-100.0 ადგ.,294.684 სახ.; 2022წ.ვალდ.1578.73749,ადგ-78.83687,1499.90062 სახ</t>
  </si>
  <si>
    <t>145.18503 გადახდ.2021წ.ადგ.2022წ.ვალდ.7.43496</t>
  </si>
  <si>
    <t>59.97740 გადახდ.2021წ.2022წ.ვალდ.3.15670</t>
  </si>
  <si>
    <t>356.84328გადახდ.2021წ.-170.28590ადგ,186.55738 საზ.2022წ.ვალდ 68.87151 სახ</t>
  </si>
  <si>
    <t>2021 წ.გადახდ.73.07571,ადგ.2.632, სახ70.44371, 2022წ ვალდ.სახ-195.85902, ადგ.14,121,სულ209.97902</t>
  </si>
  <si>
    <t>2021წ.გადახდ.102.63150, ადგ2.632,სახ.99.99950, 2022წ.ვალდ.ადგ5264,სახ101.99283,სულ107.25683</t>
  </si>
  <si>
    <t>26.10.2021-11.03.2022</t>
  </si>
  <si>
    <t>2021წ.გადახდ233.72525, ადგ28.37425, სახ205.351, 2022წ.ვალდ.289.87475,ადგ14.49374, სახ.275.38101</t>
  </si>
  <si>
    <t>საგარეჯოს მუნიციპალიტეტის სოფელ თულარი-კაზლარის ცენტრალურ  დამაკავშირებელ გზაზე ა/საფარის მოწყობა განკ#2685, 31.12.2020-17.42409; #75 17.01.2022-210.900;</t>
  </si>
  <si>
    <t>2021წ.გადახდ.232.12663,ადგ.25.45072, სახ.206.97591, 2022წ.ვალდ.241.57337, ადგ13.24928,სახ228.32409</t>
  </si>
  <si>
    <t>2021 წ.გადახდ.190.37841, ადგ.9.51892, სახ.180.85949, 2022წ.ვალდ.</t>
  </si>
  <si>
    <t>2021 წ.გადახდ.24.00083 სახ</t>
  </si>
  <si>
    <t xml:space="preserve">შპს ,,ნ და ლ’’ </t>
  </si>
  <si>
    <t>31,12,2021-31.12.2022</t>
  </si>
  <si>
    <t xml:space="preserve"> სოფლებსა (სოფელ მანავის ცენტრალური ქუჩებიდან, სოფელ თოხლიაურის ცენტრალური ქუჩებიდან, სოფელ პატარძეულის ცენტრალური ქუჩებიდან, სოფელი გიორგიწმინდიდან, სოფელი წყაროსთავიდან, სოფელი ნინოწმინდიდან, სოფელ ხაშმიდან -სოფელ შიბლიანამდე გადასახვევები და მიმდებარე ტერიტორიები) და ქ. საგარეჯოს ქუჩებში მუნიციპალიტეტის მიერ განთავსებული ნაგავშემკრები კონტეინერებიდან საყოფაცხოვრებო ნარჩენების გატანის მომსახურება</t>
  </si>
  <si>
    <t>ქ. საგარეჯოს ქუჩების დასუფთავება და დაგვა, წყალსადინარი არხების გაწმენდის, ცენტრალური ქუჩებისა და ტროტუარების თოვლისგან/ყინულისაგან გაწმენდის მომსახურება</t>
  </si>
  <si>
    <t>23,12,2021-31.12.2022</t>
  </si>
  <si>
    <t>2021 წ.გადახდილია 139.92102, 2022წ.ვალდ.202.32833</t>
  </si>
  <si>
    <t>2021 წ.გადახდილია 31.33798, 2022წ.ვალდ.50.683043</t>
  </si>
  <si>
    <t>2021 წ.გადახდილია 27.96881, 2022წ.ვალდ.46.91399</t>
  </si>
  <si>
    <t>ხელშეკრულება შეწყვეტილია 2021 წ.გადახდილია 27.96881, 2022წ.ვალდ.46.91399</t>
  </si>
  <si>
    <t>შენიშვნა</t>
  </si>
  <si>
    <t>სოფელ ქვემო და ზემო ყანდაურის დამაკავშირებელი გზის მოასფალტება მთავრ. განკ N75 17.01.2022</t>
  </si>
  <si>
    <t>2021 წ.გადახდ.11.57124, 2022ვალდ2.75133</t>
  </si>
  <si>
    <t>2021 წ.გადახდ.32.38986.2022ვალდ34.98609</t>
  </si>
  <si>
    <t>2021 წ.გადახდ.13.42357, 2022ვალდ11.44536</t>
  </si>
  <si>
    <t>2021 წ.გადახდ.22.27328,2022წ.ვალდ.1.3576</t>
  </si>
  <si>
    <t>2021 წ.გადახდ.14.500.99,2022წ.ვალდ.0.57789</t>
  </si>
  <si>
    <t>ა(ა)იპ - მიუსაფარი შინაური ცხოველების მართვის კახეთის ინტერმუნიციპალური სააგენტო</t>
  </si>
  <si>
    <t xml:space="preserve"> დელეგირების ხელშეკრულების თანახმად უფლებამოსილებების (მიუსაფარი ცხოველების საკითხების გადაწყვეტა)ეფექტიანი განხორციელების მიზნით 2022 წლის საწევრო გადასახადი </t>
  </si>
  <si>
    <t>2.08.2021-განუსაზღვრელი ვადით</t>
  </si>
  <si>
    <t>ქ.საგარეჯოში, კოსტავას ქ.N64-ში მცხ.ნათია ათანელიშვილის სტიქიის შედეგად დაზიანებული საცხოვრებელი სახლის სახურავის მოწყობა ბ.52.52220463 15.02.2022</t>
  </si>
  <si>
    <t>საგარეჯოში კოსტავას 64 მცხ.ნ.ათანელიშვილის,ს.პატარძეულში დ.ონაშვილის  ს.თოხლიაურში პ.ფოცხვერაშვილის საცხ. სახლ. რეაბ. სამ. საპრ- საარჯთაღრიცხვო დოკ. შედგენა  ბ.52.52220463 15.02.2022</t>
  </si>
  <si>
    <t>ქ.საგარეჯოში ალაზნის ქ. N7-ში მდებარე მ. დარბაისელის საცხოვრებელი სახლის სტიქიის შედეგად დაზიანებული სახურავის მწყობის სამუშაოები, ბრძ.52.52220204 20.01.2022</t>
  </si>
  <si>
    <t>სოფ. პატარა ჩაილურში მცხ. დ. მაჩხაშვილის საცხოვრებელი სახლის სტიქიის  შედეგად დაზიანებული სახურავის მოწყობის სამუშაოები ბრძ.52.52220204 20.01.2022</t>
  </si>
  <si>
    <t>ს.გიორგიწმინდაში მცხ.მ.დიღმელაშვილის სტიქიით დაზიანებული საცხ.სახლის სახურავის შეკეთების სამუშაოები ბრ.52.52220461 15.02.2022</t>
  </si>
  <si>
    <t>ს.თოხლიაურში  მცხოვრები პ.ფოცხვერაშვილის სტიქიით დაზიანებული საცხოვრებელი სახლის სახურავის მოწყობის სამუშაოები ბ.52.522220463 15.02.2022</t>
  </si>
  <si>
    <t>ს.პატარძეულში  მცხოვრები დ.ონაშვილის სტიქიით დაზიანებული საცხოვრებელი სახლის სახურავის მოწყობის სამუშაოები ბ.52.522220463 15.02.2022</t>
  </si>
  <si>
    <t>ს.ბადიაურში სტიქიის შედეგად დაზიანებული მოქ.თენგიზ მჭედლიშვილის საცხოვრებელი სახლის სახურავის მოწყობის სამუშაოები განკ N330 11.03.2021</t>
  </si>
  <si>
    <t>ს.კოჭბაანში სტიქიის შედეგად დაზიანებული მოქ.მანია ფეტიაშვილის საცხოვრებელი სახლის სახურავის მოწყობის სამუშაოები განკ.N330 11.03.2021</t>
  </si>
  <si>
    <t>ს.შიბლიანში სტიქიის შედეგად დაზიანებული მოქ.ე.ქურცაძეს საცხოვრებელი სახლის სახურავის მოწყობის სამუშაოები განკ. N330 11.03.2021</t>
  </si>
  <si>
    <t>ს.ლამბალოში სტიქიის შედეგად დაზიანებული მოქ.ამზა გარიბოვის საცხოვრებელი სახლის სახურავის მოწყობის სამუშაოები განკ.N330 11.03.2021</t>
  </si>
  <si>
    <t>ს.დუზაგრამაში სტიქიის შედეგად დაზიანებული მოქ.სალიხ ად ალიევის საცხოვრებელი სახლის სახურავის მოწყობის სამუშაოები განკ.N330 11.03.2021</t>
  </si>
  <si>
    <t>ქ.საგარეჯოში მცხოვრები მოქ. ვალერი კუპატაძეს სტიქიით დაზიანებული საცხოვრებელი სახლის სახურავის მოწყობა განკ.N330 11.03.2021</t>
  </si>
  <si>
    <t>ს.წყაროსთავში მცხოვრები მოქ. გიორგი ბეჟიტაშვილის სტიქიით დაზიანებული საცხოვრებელი სახლის სახურავის მოწყობა განკ.N330 11.03.2021</t>
  </si>
  <si>
    <t>ქ.საგარეჯოში მცხ: თამაზი ოზგელდაშვილის სტიქიით დაზიანებული საცხოვრებელი სახლის სახურავის მოწყობა განკ. N330 11.03.2021</t>
  </si>
  <si>
    <t>შემოსავალი ხელშეკრულების პირობების დარღვევის გამო დაკისრებული პირგასამტეხლოდან  განკN330 11.03.2021</t>
  </si>
  <si>
    <t>ქ.საგარეჯოში მცხოვრები ვ.ჯავახიშვილის სტიქიით დაზიანებული საცხოვრებელი სახლის სახურავის მოწყობის სამუშაოები განკ.N330 11.03.2021</t>
  </si>
  <si>
    <t>სოფ.წყაროსთავში მცხოვრები გიორგი გაგნიაშვილის სტიქიით დაზიანებული საცხოვრებელი სახლის სახურავის მოწყობის სამუშაოები განკ.N330 11.03.2021</t>
  </si>
  <si>
    <t>ქ.საგარეჯოში მცხოვრები ჯ.ოსიაშვილის სტიქიით დაზიანებული სახოვრებელი სახლის სახურავის მოწყობის სამუშაოები განკ.N330 11.03.2021</t>
  </si>
  <si>
    <t>ს.კოჭბაანში  მცხოვრები მ.წიკლაურის სტიქიით დაზიანებული საცხოვრებელი სახლის სახურავის მოწყობის სამუშაოები განკ.N330 11.03.2021</t>
  </si>
  <si>
    <t>ქ.საგარეჯოში მცხოვრები, მოქ-ე მაია მარტიაშვილის სახლის სახურავის შეცვლა განკ. N330 11.03.2021</t>
  </si>
  <si>
    <t>ს.პატარძეულში მცხოვრები გიორგი მეხაშიშვილის საცხოვრებლად გადაცემული ე.წ "ვაგონის" დაზიანებული სახურავის შეკეთება  ბ52.52220807 21/03/2022</t>
  </si>
  <si>
    <t>ქ.საგარეჯოში ერეკლე მეორის ქ.N74-ში მდებარე მრავ. საცხ სახლის სახურავის სარეაბილიტაციო  სამუშაოების  სახარჯთაღრიცხვო  დოკუმენტაციის  შედგენის  მომსახურება-საბიუჯეტო</t>
  </si>
  <si>
    <t>საგარეჯოში ალაზნის 47 მდე მ. დარბაისელის, პ.ჩაილურში მცხ დ. მაჩხაშვილის სტ. შედ. დაზ. საცხ.  სახლ. სახურ. რეაბ. სამუშ საპრ. სახარჯ. დოკ. შედგ. მომს.ბ.52.522220204 20.01.2022</t>
  </si>
  <si>
    <t>25,01,-22.08.2022</t>
  </si>
  <si>
    <t>ს.კოჭბანის ს/ბაღის   აღსაზრდელთათვის  სამგზავრო სატრანსპორტო საშუალებათა  დაქირავების  მომს.</t>
  </si>
  <si>
    <t>25,01,2022-22.08.2022</t>
  </si>
  <si>
    <t>ი.მ.ალექსი მამუკაშვილი</t>
  </si>
  <si>
    <t>შ.პ.ს.ბერდე</t>
  </si>
  <si>
    <t>მუნიციპალიტეტის მასშტაბით გარეგანათების მოწყობის სამუშაოები</t>
  </si>
  <si>
    <t>28,03,2022-31.12.2022</t>
  </si>
  <si>
    <t>2021 წ.გადახდ.984.7965,ადგ.48.93925, სახ.935.85729, 2022წ.ვალდ.315.94047, ადგ.-21.09770, სახ.294.84277</t>
  </si>
  <si>
    <t>27,01,-2.10.2022</t>
  </si>
  <si>
    <t xml:space="preserve">ქ. საგარეჯოში დავით აღმაშენებლის ქუჩა №15 -ში ადმინისტრაციული შენობის ეზოში დაზიანებული საკანალიზაციო სისტემის  რეაბილიტაციის სამუშაოების შესყიდვა. </t>
  </si>
  <si>
    <t>30,11,-30.12.2021</t>
  </si>
  <si>
    <t>საგარეჯოს მუნიციპაალიტეტის 2022 წლის პირველი კვარტლის  ბიუჯეტით  ინფრასტრუქტურულ პროგრამაში გათვალისწინებული პროცედურების შესახებ</t>
  </si>
  <si>
    <t>პირველი კვარტლის გეგმა</t>
  </si>
  <si>
    <t>ფაქტიურად შესრულებული სამუშაოს %</t>
  </si>
  <si>
    <t>21,03,-31.03.2022</t>
  </si>
  <si>
    <t>17,01,-21.01.2022</t>
  </si>
  <si>
    <t>24,02,-28.02.2022</t>
  </si>
  <si>
    <t>15,02,-17.02.2022</t>
  </si>
  <si>
    <t>08,02,-15.02.2022</t>
  </si>
  <si>
    <t>01.03.2021-30/05/2021-პირველი ეტაპი, 31/03/2022 - მეორე ეტაპი</t>
  </si>
  <si>
    <t>საგარეჯოს მუნიციპალიტეტის სოფელ გიორგიწმინდაში ჭაბურღილების, შემკრები რეზერვუარების და სატუმბი სადგურის მოწყობის სამუშაოები განკ#2685, 31.12.2020-69.14271; #75 17.01.-225.70006</t>
  </si>
  <si>
    <t>ხელშეკრულება შეწყვეტილია</t>
  </si>
  <si>
    <t>2021წ.გადახდ91.855, ადგ4.592, სახ87.263, 2022წ.ვალდ.367.425,ადგ18.372, სახ.349.05298</t>
  </si>
  <si>
    <t>პირველი კვარტ.დაფინან.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</si>
</sst>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0"/>
    <numFmt numFmtId="165" formatCode="_-* #,##0.00\ &quot;Lari&quot;_-;\-* #,##0.00\ &quot;Lari&quot;_-;_-* &quot;-&quot;??\ &quot;Lari&quot;_-;_-@_-"/>
    <numFmt numFmtId="166" formatCode="m/d;@"/>
  </numFmts>
  <fonts count="3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indexed="8"/>
      <name val="Sylfaen"/>
      <family val="1"/>
      <charset val="204"/>
    </font>
    <font>
      <b/>
      <sz val="8"/>
      <color indexed="8"/>
      <name val="Sylfaen"/>
      <family val="1"/>
      <charset val="204"/>
    </font>
    <font>
      <sz val="11"/>
      <color indexed="8"/>
      <name val="Calibri"/>
      <family val="2"/>
    </font>
    <font>
      <sz val="8"/>
      <color rgb="FF000000"/>
      <name val="Sylfaen"/>
      <family val="1"/>
      <charset val="204"/>
    </font>
    <font>
      <sz val="10"/>
      <name val="Arial"/>
      <family val="2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Sylfaen"/>
      <family val="1"/>
      <charset val="204"/>
    </font>
    <font>
      <sz val="8"/>
      <color theme="1"/>
      <name val="Sylfaen"/>
      <family val="1"/>
    </font>
    <font>
      <sz val="8"/>
      <color indexed="8"/>
      <name val="LitNusx"/>
    </font>
    <font>
      <sz val="8"/>
      <color theme="1"/>
      <name val="Calibri"/>
      <family val="2"/>
      <charset val="1"/>
      <scheme val="minor"/>
    </font>
    <font>
      <sz val="8"/>
      <name val="Sylfaen"/>
      <family val="1"/>
      <charset val="204"/>
    </font>
    <font>
      <b/>
      <sz val="8"/>
      <color theme="1"/>
      <name val="Sylfaen"/>
      <family val="1"/>
      <charset val="204"/>
    </font>
    <font>
      <b/>
      <sz val="8"/>
      <name val="Sylfaen"/>
      <family val="1"/>
      <charset val="204"/>
    </font>
    <font>
      <sz val="8"/>
      <color rgb="FF000000"/>
      <name val="Calibri"/>
      <family val="2"/>
      <charset val="204"/>
      <scheme val="minor"/>
    </font>
    <font>
      <b/>
      <sz val="8"/>
      <color rgb="FF000000"/>
      <name val="Sylfaen"/>
      <family val="1"/>
      <charset val="204"/>
    </font>
    <font>
      <b/>
      <sz val="8"/>
      <color rgb="FF222222"/>
      <name val="Sylfaen"/>
      <family val="1"/>
      <charset val="204"/>
    </font>
    <font>
      <sz val="8"/>
      <color rgb="FF222222"/>
      <name val="Sylfaen"/>
      <family val="1"/>
      <charset val="204"/>
    </font>
    <font>
      <sz val="8"/>
      <name val="Calibri"/>
      <family val="2"/>
      <charset val="204"/>
    </font>
    <font>
      <sz val="8"/>
      <name val="AcadNusx"/>
    </font>
    <font>
      <b/>
      <sz val="8"/>
      <color theme="1"/>
      <name val="Calibri"/>
      <family val="2"/>
      <scheme val="minor"/>
    </font>
    <font>
      <sz val="8"/>
      <name val="LitNusx"/>
    </font>
    <font>
      <sz val="8"/>
      <color rgb="FFFF0000"/>
      <name val="Sylfaen"/>
      <family val="1"/>
      <charset val="204"/>
    </font>
    <font>
      <b/>
      <sz val="8"/>
      <color theme="1"/>
      <name val="Calibri"/>
      <family val="1"/>
      <charset val="204"/>
      <scheme val="minor"/>
    </font>
    <font>
      <sz val="8"/>
      <name val="Calibri"/>
      <family val="2"/>
    </font>
    <font>
      <b/>
      <sz val="8"/>
      <color rgb="FF363636"/>
      <name val="Sylfaen"/>
      <family val="1"/>
      <charset val="204"/>
    </font>
    <font>
      <sz val="8"/>
      <color rgb="FF363636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</cellStyleXfs>
  <cellXfs count="180">
    <xf numFmtId="0" fontId="0" fillId="0" borderId="0" xfId="0"/>
    <xf numFmtId="0" fontId="11" fillId="2" borderId="1" xfId="1" applyFont="1" applyFill="1" applyBorder="1" applyAlignment="1">
      <alignment horizontal="center" vertical="center" wrapText="1"/>
    </xf>
    <xf numFmtId="0" fontId="14" fillId="2" borderId="1" xfId="5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left" vertical="center" wrapText="1"/>
    </xf>
    <xf numFmtId="0" fontId="15" fillId="2" borderId="1" xfId="8" applyFont="1" applyFill="1" applyBorder="1" applyAlignment="1">
      <alignment horizontal="center" vertical="center" wrapText="1"/>
    </xf>
    <xf numFmtId="0" fontId="6" fillId="2" borderId="1" xfId="8" applyNumberFormat="1" applyFont="1" applyFill="1" applyBorder="1" applyAlignment="1">
      <alignment vertical="top" wrapText="1" readingOrder="1"/>
    </xf>
    <xf numFmtId="164" fontId="3" fillId="2" borderId="1" xfId="8" applyNumberFormat="1" applyFont="1" applyFill="1" applyBorder="1"/>
    <xf numFmtId="164" fontId="3" fillId="2" borderId="1" xfId="8" applyNumberFormat="1" applyFont="1" applyFill="1" applyBorder="1" applyAlignment="1">
      <alignment horizontal="center" vertical="center" wrapText="1"/>
    </xf>
    <xf numFmtId="0" fontId="3" fillId="2" borderId="1" xfId="8" applyFont="1" applyFill="1" applyBorder="1" applyAlignment="1">
      <alignment wrapText="1"/>
    </xf>
    <xf numFmtId="0" fontId="10" fillId="2" borderId="1" xfId="8" applyFont="1" applyFill="1" applyBorder="1" applyAlignment="1">
      <alignment horizontal="center" vertical="center"/>
    </xf>
    <xf numFmtId="49" fontId="10" fillId="2" borderId="1" xfId="8" applyNumberFormat="1" applyFont="1" applyFill="1" applyBorder="1" applyAlignment="1">
      <alignment horizontal="left" vertical="center" wrapText="1"/>
    </xf>
    <xf numFmtId="49" fontId="10" fillId="2" borderId="1" xfId="8" applyNumberFormat="1" applyFont="1" applyFill="1" applyBorder="1" applyAlignment="1">
      <alignment horizontal="center" vertical="center" wrapText="1"/>
    </xf>
    <xf numFmtId="14" fontId="10" fillId="2" borderId="1" xfId="8" applyNumberFormat="1" applyFont="1" applyFill="1" applyBorder="1" applyAlignment="1">
      <alignment horizontal="left" vertical="center" wrapText="1"/>
    </xf>
    <xf numFmtId="49" fontId="3" fillId="2" borderId="1" xfId="8" applyNumberFormat="1" applyFont="1" applyFill="1" applyBorder="1" applyAlignment="1">
      <alignment horizontal="center" vertical="center" wrapText="1"/>
    </xf>
    <xf numFmtId="49" fontId="4" fillId="2" borderId="1" xfId="8" applyNumberFormat="1" applyFont="1" applyFill="1" applyBorder="1" applyAlignment="1">
      <alignment horizontal="center" vertical="center" wrapText="1"/>
    </xf>
    <xf numFmtId="49" fontId="10" fillId="2" borderId="1" xfId="8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vertical="top" wrapText="1" readingOrder="1"/>
    </xf>
    <xf numFmtId="0" fontId="4" fillId="2" borderId="4" xfId="8" applyFont="1" applyFill="1" applyBorder="1" applyAlignment="1">
      <alignment horizontal="center" vertical="center" wrapText="1"/>
    </xf>
    <xf numFmtId="0" fontId="6" fillId="2" borderId="1" xfId="8" applyNumberFormat="1" applyFont="1" applyFill="1" applyBorder="1" applyAlignment="1">
      <alignment vertical="top" wrapText="1"/>
    </xf>
    <xf numFmtId="0" fontId="6" fillId="2" borderId="1" xfId="8" applyFont="1" applyFill="1" applyBorder="1" applyAlignment="1">
      <alignment horizontal="center" vertical="center" wrapText="1"/>
    </xf>
    <xf numFmtId="0" fontId="3" fillId="2" borderId="1" xfId="8" applyFont="1" applyFill="1" applyBorder="1" applyAlignment="1">
      <alignment horizontal="center" vertical="center" wrapText="1"/>
    </xf>
    <xf numFmtId="0" fontId="3" fillId="2" borderId="1" xfId="8" applyFont="1" applyFill="1" applyBorder="1" applyAlignment="1">
      <alignment horizontal="center" vertical="center"/>
    </xf>
    <xf numFmtId="0" fontId="15" fillId="2" borderId="4" xfId="8" applyFont="1" applyFill="1" applyBorder="1" applyAlignment="1">
      <alignment horizontal="center" vertical="center" wrapText="1"/>
    </xf>
    <xf numFmtId="0" fontId="12" fillId="2" borderId="1" xfId="8" applyFont="1" applyFill="1" applyBorder="1" applyAlignment="1">
      <alignment horizontal="center" vertical="center" wrapText="1"/>
    </xf>
    <xf numFmtId="49" fontId="3" fillId="2" borderId="1" xfId="8" applyNumberFormat="1" applyFont="1" applyFill="1" applyBorder="1" applyAlignment="1">
      <alignment horizontal="center" vertical="center"/>
    </xf>
    <xf numFmtId="164" fontId="13" fillId="2" borderId="1" xfId="1" applyNumberFormat="1" applyFont="1" applyFill="1" applyBorder="1"/>
    <xf numFmtId="0" fontId="11" fillId="2" borderId="4" xfId="1" applyFont="1" applyFill="1" applyBorder="1" applyAlignment="1">
      <alignment horizontal="center" vertical="center" wrapText="1"/>
    </xf>
    <xf numFmtId="164" fontId="8" fillId="2" borderId="0" xfId="8" applyNumberFormat="1" applyFont="1" applyFill="1" applyAlignment="1">
      <alignment wrapText="1"/>
    </xf>
    <xf numFmtId="0" fontId="6" fillId="2" borderId="1" xfId="0" applyNumberFormat="1" applyFont="1" applyFill="1" applyBorder="1" applyAlignment="1">
      <alignment vertical="top" wrapText="1" readingOrder="1"/>
    </xf>
    <xf numFmtId="0" fontId="10" fillId="2" borderId="4" xfId="1" applyFont="1" applyFill="1" applyBorder="1" applyAlignment="1">
      <alignment horizontal="center" vertical="center" wrapText="1"/>
    </xf>
    <xf numFmtId="0" fontId="18" fillId="2" borderId="1" xfId="8" applyFont="1" applyFill="1" applyBorder="1" applyAlignment="1">
      <alignment horizontal="center" vertical="center" wrapText="1"/>
    </xf>
    <xf numFmtId="0" fontId="19" fillId="2" borderId="4" xfId="8" applyFont="1" applyFill="1" applyBorder="1" applyAlignment="1">
      <alignment horizontal="center" vertical="center" wrapText="1"/>
    </xf>
    <xf numFmtId="0" fontId="20" fillId="2" borderId="4" xfId="8" applyFont="1" applyFill="1" applyBorder="1" applyAlignment="1">
      <alignment horizontal="center" vertical="center" wrapText="1"/>
    </xf>
    <xf numFmtId="0" fontId="6" fillId="2" borderId="1" xfId="8" applyNumberFormat="1" applyFont="1" applyFill="1" applyBorder="1" applyAlignment="1">
      <alignment horizontal="center" vertical="center" wrapText="1"/>
    </xf>
    <xf numFmtId="0" fontId="6" fillId="2" borderId="1" xfId="8" applyNumberFormat="1" applyFont="1" applyFill="1" applyBorder="1" applyAlignment="1">
      <alignment horizontal="center" vertical="center" wrapText="1" readingOrder="1"/>
    </xf>
    <xf numFmtId="0" fontId="13" fillId="2" borderId="1" xfId="1" applyFont="1" applyFill="1" applyBorder="1" applyAlignment="1">
      <alignment wrapText="1"/>
    </xf>
    <xf numFmtId="0" fontId="6" fillId="0" borderId="1" xfId="1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164" fontId="10" fillId="2" borderId="1" xfId="8" applyNumberFormat="1" applyFont="1" applyFill="1" applyBorder="1" applyAlignment="1">
      <alignment horizontal="center" vertical="center"/>
    </xf>
    <xf numFmtId="164" fontId="3" fillId="2" borderId="3" xfId="8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8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wrapText="1"/>
    </xf>
    <xf numFmtId="164" fontId="9" fillId="2" borderId="1" xfId="1" applyNumberFormat="1" applyFont="1" applyFill="1" applyBorder="1" applyAlignment="1">
      <alignment wrapText="1"/>
    </xf>
    <xf numFmtId="16" fontId="9" fillId="2" borderId="1" xfId="1" applyNumberFormat="1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164" fontId="9" fillId="2" borderId="1" xfId="0" applyNumberFormat="1" applyFont="1" applyFill="1" applyBorder="1" applyAlignment="1">
      <alignment wrapText="1"/>
    </xf>
    <xf numFmtId="0" fontId="23" fillId="2" borderId="1" xfId="1" applyFont="1" applyFill="1" applyBorder="1" applyAlignment="1">
      <alignment wrapText="1"/>
    </xf>
    <xf numFmtId="49" fontId="6" fillId="2" borderId="1" xfId="1" applyNumberFormat="1" applyFont="1" applyFill="1" applyBorder="1" applyAlignment="1">
      <alignment vertical="top" wrapText="1" readingOrder="1"/>
    </xf>
    <xf numFmtId="0" fontId="20" fillId="2" borderId="1" xfId="0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wrapText="1"/>
    </xf>
    <xf numFmtId="164" fontId="9" fillId="2" borderId="0" xfId="1" applyNumberFormat="1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11" fillId="0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7" fillId="2" borderId="1" xfId="8" applyFont="1" applyFill="1" applyBorder="1" applyAlignment="1">
      <alignment wrapText="1"/>
    </xf>
    <xf numFmtId="0" fontId="6" fillId="0" borderId="1" xfId="8" applyNumberFormat="1" applyFont="1" applyFill="1" applyBorder="1" applyAlignment="1">
      <alignment vertical="top" wrapText="1" readingOrder="1"/>
    </xf>
    <xf numFmtId="0" fontId="22" fillId="2" borderId="1" xfId="0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49" fontId="11" fillId="2" borderId="4" xfId="8" applyNumberFormat="1" applyFont="1" applyFill="1" applyBorder="1" applyAlignment="1">
      <alignment horizontal="center" vertical="center" wrapText="1"/>
    </xf>
    <xf numFmtId="49" fontId="11" fillId="2" borderId="1" xfId="8" applyNumberFormat="1" applyFont="1" applyFill="1" applyBorder="1" applyAlignment="1">
      <alignment horizontal="center" vertical="center" wrapText="1"/>
    </xf>
    <xf numFmtId="0" fontId="4" fillId="2" borderId="1" xfId="8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1" fillId="3" borderId="1" xfId="8" applyFont="1" applyFill="1" applyBorder="1" applyAlignment="1">
      <alignment horizontal="center" vertical="center" wrapText="1"/>
    </xf>
    <xf numFmtId="0" fontId="8" fillId="2" borderId="0" xfId="8" applyFont="1" applyFill="1" applyAlignment="1">
      <alignment horizontal="center" vertical="center"/>
    </xf>
    <xf numFmtId="0" fontId="6" fillId="2" borderId="4" xfId="8" applyNumberFormat="1" applyFont="1" applyFill="1" applyBorder="1" applyAlignment="1">
      <alignment horizontal="center" vertical="center" wrapText="1" readingOrder="1"/>
    </xf>
    <xf numFmtId="0" fontId="6" fillId="2" borderId="4" xfId="0" applyNumberFormat="1" applyFont="1" applyFill="1" applyBorder="1" applyAlignment="1">
      <alignment horizontal="center" vertical="center" wrapText="1" readingOrder="1"/>
    </xf>
    <xf numFmtId="0" fontId="16" fillId="2" borderId="4" xfId="5" applyFont="1" applyFill="1" applyBorder="1" applyAlignment="1">
      <alignment horizontal="center" vertical="center" wrapText="1"/>
    </xf>
    <xf numFmtId="0" fontId="6" fillId="2" borderId="6" xfId="8" applyNumberFormat="1" applyFont="1" applyFill="1" applyBorder="1" applyAlignment="1">
      <alignment horizontal="center" vertical="center" wrapText="1" readingOrder="1"/>
    </xf>
    <xf numFmtId="0" fontId="6" fillId="2" borderId="5" xfId="8" applyNumberFormat="1" applyFont="1" applyFill="1" applyBorder="1" applyAlignment="1">
      <alignment horizontal="center" vertical="center" wrapText="1" readingOrder="1"/>
    </xf>
    <xf numFmtId="0" fontId="16" fillId="2" borderId="1" xfId="5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 readingOrder="1"/>
    </xf>
    <xf numFmtId="0" fontId="4" fillId="2" borderId="1" xfId="8" applyFont="1" applyFill="1" applyBorder="1" applyAlignment="1">
      <alignment horizontal="center" vertical="center"/>
    </xf>
    <xf numFmtId="0" fontId="4" fillId="2" borderId="4" xfId="8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2" borderId="4" xfId="1" applyNumberFormat="1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" fontId="3" fillId="2" borderId="2" xfId="8" applyNumberFormat="1" applyFont="1" applyFill="1" applyBorder="1" applyAlignment="1">
      <alignment horizontal="center" vertical="center" wrapText="1"/>
    </xf>
    <xf numFmtId="1" fontId="3" fillId="2" borderId="7" xfId="8" applyNumberFormat="1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11" fillId="2" borderId="1" xfId="8" applyFont="1" applyFill="1" applyBorder="1" applyAlignment="1">
      <alignment horizontal="center" vertical="center" wrapText="1"/>
    </xf>
    <xf numFmtId="0" fontId="8" fillId="2" borderId="0" xfId="8" applyFont="1" applyFill="1"/>
    <xf numFmtId="164" fontId="24" fillId="2" borderId="0" xfId="5" applyNumberFormat="1" applyFont="1" applyFill="1" applyAlignment="1">
      <alignment horizontal="center" vertical="center" wrapText="1"/>
    </xf>
    <xf numFmtId="0" fontId="8" fillId="2" borderId="0" xfId="8" applyFont="1" applyFill="1" applyAlignment="1">
      <alignment wrapText="1"/>
    </xf>
    <xf numFmtId="0" fontId="9" fillId="2" borderId="0" xfId="1" applyFont="1" applyFill="1"/>
    <xf numFmtId="0" fontId="13" fillId="2" borderId="0" xfId="0" applyFont="1" applyFill="1"/>
    <xf numFmtId="164" fontId="14" fillId="2" borderId="1" xfId="5" applyNumberFormat="1" applyFont="1" applyFill="1" applyBorder="1" applyAlignment="1">
      <alignment horizontal="center" vertical="center" wrapText="1"/>
    </xf>
    <xf numFmtId="164" fontId="14" fillId="2" borderId="1" xfId="5" applyNumberFormat="1" applyFont="1" applyFill="1" applyBorder="1" applyAlignment="1">
      <alignment wrapText="1"/>
    </xf>
    <xf numFmtId="0" fontId="10" fillId="2" borderId="1" xfId="8" applyFont="1" applyFill="1" applyBorder="1" applyAlignment="1">
      <alignment wrapText="1"/>
    </xf>
    <xf numFmtId="49" fontId="3" fillId="2" borderId="1" xfId="8" applyNumberFormat="1" applyFont="1" applyFill="1" applyBorder="1" applyAlignment="1">
      <alignment wrapText="1"/>
    </xf>
    <xf numFmtId="1" fontId="3" fillId="2" borderId="1" xfId="8" applyNumberFormat="1" applyFont="1" applyFill="1" applyBorder="1" applyAlignment="1">
      <alignment horizontal="center" vertical="center" wrapText="1"/>
    </xf>
    <xf numFmtId="0" fontId="3" fillId="2" borderId="1" xfId="8" applyFont="1" applyFill="1" applyBorder="1"/>
    <xf numFmtId="1" fontId="3" fillId="0" borderId="1" xfId="8" applyNumberFormat="1" applyFont="1" applyFill="1" applyBorder="1" applyAlignment="1">
      <alignment horizontal="center" vertical="center" wrapText="1"/>
    </xf>
    <xf numFmtId="16" fontId="3" fillId="2" borderId="1" xfId="8" applyNumberFormat="1" applyFont="1" applyFill="1" applyBorder="1"/>
    <xf numFmtId="0" fontId="4" fillId="2" borderId="1" xfId="8" applyFont="1" applyFill="1" applyBorder="1" applyAlignment="1">
      <alignment wrapText="1"/>
    </xf>
    <xf numFmtId="164" fontId="9" fillId="2" borderId="0" xfId="1" applyNumberFormat="1" applyFont="1" applyFill="1"/>
    <xf numFmtId="164" fontId="10" fillId="2" borderId="3" xfId="8" applyNumberFormat="1" applyFont="1" applyFill="1" applyBorder="1" applyAlignment="1">
      <alignment horizontal="center" vertical="center"/>
    </xf>
    <xf numFmtId="16" fontId="9" fillId="2" borderId="0" xfId="1" applyNumberFormat="1" applyFont="1" applyFill="1"/>
    <xf numFmtId="164" fontId="3" fillId="2" borderId="1" xfId="8" applyNumberFormat="1" applyFont="1" applyFill="1" applyBorder="1" applyAlignment="1">
      <alignment horizontal="center" vertical="center"/>
    </xf>
    <xf numFmtId="0" fontId="14" fillId="2" borderId="1" xfId="8" applyFont="1" applyFill="1" applyBorder="1" applyAlignment="1">
      <alignment wrapText="1"/>
    </xf>
    <xf numFmtId="0" fontId="3" fillId="2" borderId="1" xfId="8" applyNumberFormat="1" applyFont="1" applyFill="1" applyBorder="1"/>
    <xf numFmtId="164" fontId="3" fillId="2" borderId="3" xfId="8" applyNumberFormat="1" applyFont="1" applyFill="1" applyBorder="1"/>
    <xf numFmtId="164" fontId="3" fillId="2" borderId="3" xfId="8" applyNumberFormat="1" applyFont="1" applyFill="1" applyBorder="1" applyAlignment="1">
      <alignment horizontal="center" vertical="center"/>
    </xf>
    <xf numFmtId="164" fontId="3" fillId="2" borderId="3" xfId="8" applyNumberFormat="1" applyFont="1" applyFill="1" applyBorder="1" applyAlignment="1">
      <alignment wrapText="1"/>
    </xf>
    <xf numFmtId="0" fontId="4" fillId="2" borderId="1" xfId="8" applyFont="1" applyFill="1" applyBorder="1"/>
    <xf numFmtId="164" fontId="3" fillId="2" borderId="3" xfId="8" applyNumberFormat="1" applyFont="1" applyFill="1" applyBorder="1" applyAlignment="1">
      <alignment vertical="center" wrapText="1"/>
    </xf>
    <xf numFmtId="164" fontId="3" fillId="2" borderId="1" xfId="8" applyNumberFormat="1" applyFont="1" applyFill="1" applyBorder="1" applyAlignment="1">
      <alignment vertical="center" wrapText="1"/>
    </xf>
    <xf numFmtId="164" fontId="14" fillId="2" borderId="1" xfId="5" applyNumberFormat="1" applyFont="1" applyFill="1" applyBorder="1"/>
    <xf numFmtId="0" fontId="3" fillId="2" borderId="1" xfId="8" applyFont="1" applyFill="1" applyBorder="1" applyAlignment="1">
      <alignment vertical="center" wrapText="1"/>
    </xf>
    <xf numFmtId="0" fontId="10" fillId="2" borderId="1" xfId="8" applyNumberFormat="1" applyFont="1" applyFill="1" applyBorder="1" applyAlignment="1">
      <alignment horizontal="center" vertical="center" wrapText="1"/>
    </xf>
    <xf numFmtId="164" fontId="10" fillId="2" borderId="1" xfId="8" applyNumberFormat="1" applyFont="1" applyFill="1" applyBorder="1" applyAlignment="1">
      <alignment horizontal="center" vertical="center" wrapText="1"/>
    </xf>
    <xf numFmtId="0" fontId="10" fillId="2" borderId="1" xfId="8" applyNumberFormat="1" applyFont="1" applyFill="1" applyBorder="1" applyAlignment="1">
      <alignment horizontal="left" vertical="center" wrapText="1"/>
    </xf>
    <xf numFmtId="49" fontId="6" fillId="2" borderId="1" xfId="8" applyNumberFormat="1" applyFont="1" applyFill="1" applyBorder="1" applyAlignment="1">
      <alignment vertical="top" wrapText="1" readingOrder="1"/>
    </xf>
    <xf numFmtId="164" fontId="8" fillId="2" borderId="1" xfId="8" applyNumberFormat="1" applyFont="1" applyFill="1" applyBorder="1"/>
    <xf numFmtId="164" fontId="14" fillId="2" borderId="1" xfId="8" applyNumberFormat="1" applyFont="1" applyFill="1" applyBorder="1"/>
    <xf numFmtId="49" fontId="3" fillId="2" borderId="1" xfId="8" applyNumberFormat="1" applyFont="1" applyFill="1" applyBorder="1"/>
    <xf numFmtId="164" fontId="25" fillId="2" borderId="1" xfId="8" applyNumberFormat="1" applyFont="1" applyFill="1" applyBorder="1" applyAlignment="1">
      <alignment wrapText="1"/>
    </xf>
    <xf numFmtId="1" fontId="3" fillId="2" borderId="8" xfId="8" applyNumberFormat="1" applyFont="1" applyFill="1" applyBorder="1" applyAlignment="1">
      <alignment horizontal="center" vertical="center" wrapText="1"/>
    </xf>
    <xf numFmtId="0" fontId="4" fillId="2" borderId="1" xfId="8" applyNumberFormat="1" applyFont="1" applyFill="1" applyBorder="1" applyAlignment="1">
      <alignment horizontal="center" vertical="center" wrapText="1"/>
    </xf>
    <xf numFmtId="164" fontId="3" fillId="2" borderId="1" xfId="8" applyNumberFormat="1" applyFont="1" applyFill="1" applyBorder="1" applyAlignment="1">
      <alignment wrapText="1"/>
    </xf>
    <xf numFmtId="164" fontId="3" fillId="2" borderId="1" xfId="8" applyNumberFormat="1" applyFont="1" applyFill="1" applyBorder="1" applyAlignment="1">
      <alignment horizontal="left" vertical="center" wrapText="1"/>
    </xf>
    <xf numFmtId="0" fontId="10" fillId="3" borderId="1" xfId="8" applyFont="1" applyFill="1" applyBorder="1" applyAlignment="1">
      <alignment wrapText="1"/>
    </xf>
    <xf numFmtId="16" fontId="3" fillId="3" borderId="1" xfId="8" applyNumberFormat="1" applyFont="1" applyFill="1" applyBorder="1"/>
    <xf numFmtId="0" fontId="3" fillId="2" borderId="1" xfId="8" applyFont="1" applyFill="1" applyBorder="1" applyAlignment="1">
      <alignment horizontal="left" vertical="center" wrapText="1"/>
    </xf>
    <xf numFmtId="0" fontId="26" fillId="2" borderId="0" xfId="1" applyFont="1" applyFill="1"/>
    <xf numFmtId="0" fontId="27" fillId="2" borderId="1" xfId="8" applyFont="1" applyFill="1" applyBorder="1" applyAlignment="1">
      <alignment horizontal="center" vertical="center" wrapText="1"/>
    </xf>
    <xf numFmtId="164" fontId="10" fillId="2" borderId="1" xfId="8" applyNumberFormat="1" applyFont="1" applyFill="1" applyBorder="1"/>
    <xf numFmtId="14" fontId="3" fillId="2" borderId="1" xfId="8" applyNumberFormat="1" applyFont="1" applyFill="1" applyBorder="1" applyAlignment="1">
      <alignment wrapText="1"/>
    </xf>
    <xf numFmtId="164" fontId="10" fillId="2" borderId="1" xfId="8" applyNumberFormat="1" applyFont="1" applyFill="1" applyBorder="1" applyAlignment="1">
      <alignment horizontal="right" wrapText="1"/>
    </xf>
    <xf numFmtId="164" fontId="14" fillId="2" borderId="1" xfId="5" applyNumberFormat="1" applyFont="1" applyFill="1" applyBorder="1" applyAlignment="1">
      <alignment horizontal="right"/>
    </xf>
    <xf numFmtId="14" fontId="14" fillId="2" borderId="1" xfId="5" applyNumberFormat="1" applyFont="1" applyFill="1" applyBorder="1" applyAlignment="1">
      <alignment horizontal="right" wrapText="1"/>
    </xf>
    <xf numFmtId="49" fontId="14" fillId="2" borderId="1" xfId="5" applyNumberFormat="1" applyFont="1" applyFill="1" applyBorder="1" applyAlignment="1">
      <alignment horizontal="right" wrapText="1"/>
    </xf>
    <xf numFmtId="166" fontId="14" fillId="2" borderId="1" xfId="5" applyNumberFormat="1" applyFont="1" applyFill="1" applyBorder="1" applyAlignment="1">
      <alignment horizontal="right" wrapText="1"/>
    </xf>
    <xf numFmtId="0" fontId="14" fillId="2" borderId="1" xfId="5" applyNumberFormat="1" applyFont="1" applyFill="1" applyBorder="1" applyAlignment="1">
      <alignment horizontal="right" wrapText="1"/>
    </xf>
    <xf numFmtId="164" fontId="3" fillId="2" borderId="1" xfId="8" applyNumberFormat="1" applyFont="1" applyFill="1" applyBorder="1" applyAlignment="1"/>
    <xf numFmtId="0" fontId="28" fillId="2" borderId="1" xfId="8" applyFont="1" applyFill="1" applyBorder="1" applyAlignment="1">
      <alignment horizontal="center" vertical="center" wrapText="1"/>
    </xf>
    <xf numFmtId="0" fontId="29" fillId="2" borderId="1" xfId="8" applyFont="1" applyFill="1" applyBorder="1" applyAlignment="1">
      <alignment horizontal="center" vertical="center" wrapText="1"/>
    </xf>
    <xf numFmtId="0" fontId="14" fillId="2" borderId="1" xfId="8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2" borderId="1" xfId="8" applyNumberFormat="1" applyFont="1" applyFill="1" applyBorder="1" applyAlignment="1">
      <alignment horizontal="left" vertical="center" wrapText="1"/>
    </xf>
    <xf numFmtId="14" fontId="10" fillId="2" borderId="1" xfId="8" applyNumberFormat="1" applyFont="1" applyFill="1" applyBorder="1" applyAlignment="1">
      <alignment horizontal="center" vertical="center" wrapText="1"/>
    </xf>
    <xf numFmtId="49" fontId="10" fillId="2" borderId="1" xfId="8" applyNumberFormat="1" applyFont="1" applyFill="1" applyBorder="1" applyAlignment="1">
      <alignment wrapText="1"/>
    </xf>
    <xf numFmtId="16" fontId="10" fillId="2" borderId="1" xfId="8" applyNumberFormat="1" applyFont="1" applyFill="1" applyBorder="1" applyAlignment="1">
      <alignment wrapText="1"/>
    </xf>
    <xf numFmtId="0" fontId="9" fillId="2" borderId="0" xfId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3" fillId="2" borderId="2" xfId="8" applyFont="1" applyFill="1" applyBorder="1" applyAlignment="1">
      <alignment wrapText="1"/>
    </xf>
    <xf numFmtId="49" fontId="4" fillId="2" borderId="1" xfId="8" applyNumberFormat="1" applyFont="1" applyFill="1" applyBorder="1" applyAlignment="1">
      <alignment wrapText="1"/>
    </xf>
    <xf numFmtId="0" fontId="9" fillId="2" borderId="0" xfId="1" applyFont="1" applyFill="1" applyAlignment="1">
      <alignment wrapText="1"/>
    </xf>
    <xf numFmtId="0" fontId="13" fillId="2" borderId="0" xfId="0" applyFont="1" applyFill="1" applyAlignment="1">
      <alignment wrapText="1"/>
    </xf>
    <xf numFmtId="0" fontId="3" fillId="2" borderId="2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top" wrapText="1" readingOrder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49" fontId="3" fillId="2" borderId="2" xfId="8" applyNumberFormat="1" applyFont="1" applyFill="1" applyBorder="1" applyAlignment="1">
      <alignment horizontal="center" vertical="center"/>
    </xf>
    <xf numFmtId="49" fontId="3" fillId="2" borderId="7" xfId="8" applyNumberFormat="1" applyFont="1" applyFill="1" applyBorder="1" applyAlignment="1">
      <alignment horizontal="center" vertical="center"/>
    </xf>
    <xf numFmtId="0" fontId="3" fillId="2" borderId="1" xfId="8" applyFont="1" applyFill="1" applyBorder="1" applyAlignment="1">
      <alignment horizontal="center" vertical="center" wrapText="1" readingOrder="1"/>
    </xf>
    <xf numFmtId="0" fontId="9" fillId="2" borderId="1" xfId="1" applyFont="1" applyFill="1" applyBorder="1" applyAlignment="1">
      <alignment horizontal="center" wrapText="1"/>
    </xf>
    <xf numFmtId="0" fontId="11" fillId="2" borderId="1" xfId="8" applyFont="1" applyFill="1" applyBorder="1" applyAlignment="1">
      <alignment horizontal="center" vertical="center" wrapText="1"/>
    </xf>
    <xf numFmtId="0" fontId="17" fillId="2" borderId="1" xfId="8" applyFont="1" applyFill="1" applyBorder="1" applyAlignment="1">
      <alignment horizontal="center" wrapText="1"/>
    </xf>
    <xf numFmtId="49" fontId="10" fillId="2" borderId="2" xfId="8" applyNumberFormat="1" applyFont="1" applyFill="1" applyBorder="1" applyAlignment="1">
      <alignment horizontal="center" vertical="center"/>
    </xf>
    <xf numFmtId="49" fontId="10" fillId="2" borderId="7" xfId="8" applyNumberFormat="1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wrapText="1"/>
    </xf>
    <xf numFmtId="0" fontId="3" fillId="2" borderId="7" xfId="8" applyFont="1" applyFill="1" applyBorder="1" applyAlignment="1">
      <alignment horizontal="center" wrapText="1"/>
    </xf>
    <xf numFmtId="0" fontId="6" fillId="2" borderId="1" xfId="1" applyNumberFormat="1" applyFont="1" applyFill="1" applyBorder="1" applyAlignment="1">
      <alignment horizontal="center" vertical="top" wrapText="1" readingOrder="1"/>
    </xf>
    <xf numFmtId="0" fontId="3" fillId="2" borderId="8" xfId="8" applyFont="1" applyFill="1" applyBorder="1" applyAlignment="1">
      <alignment horizontal="center" wrapText="1"/>
    </xf>
    <xf numFmtId="49" fontId="10" fillId="2" borderId="8" xfId="8" applyNumberFormat="1" applyFont="1" applyFill="1" applyBorder="1" applyAlignment="1">
      <alignment horizontal="center" vertical="center"/>
    </xf>
    <xf numFmtId="164" fontId="24" fillId="2" borderId="0" xfId="5" applyNumberFormat="1" applyFont="1" applyFill="1" applyAlignment="1">
      <alignment horizontal="center" vertical="center" wrapText="1"/>
    </xf>
    <xf numFmtId="0" fontId="10" fillId="2" borderId="2" xfId="8" applyFont="1" applyFill="1" applyBorder="1" applyAlignment="1">
      <alignment horizontal="center" vertical="center"/>
    </xf>
    <xf numFmtId="0" fontId="10" fillId="2" borderId="7" xfId="8" applyFont="1" applyFill="1" applyBorder="1" applyAlignment="1">
      <alignment horizontal="center" vertical="center"/>
    </xf>
    <xf numFmtId="1" fontId="3" fillId="2" borderId="2" xfId="8" applyNumberFormat="1" applyFont="1" applyFill="1" applyBorder="1" applyAlignment="1">
      <alignment horizontal="center" vertical="center" wrapText="1"/>
    </xf>
    <xf numFmtId="1" fontId="3" fillId="2" borderId="7" xfId="8" applyNumberFormat="1" applyFont="1" applyFill="1" applyBorder="1" applyAlignment="1">
      <alignment horizontal="center" vertical="center" wrapText="1"/>
    </xf>
    <xf numFmtId="49" fontId="3" fillId="2" borderId="2" xfId="8" applyNumberFormat="1" applyFont="1" applyFill="1" applyBorder="1" applyAlignment="1">
      <alignment horizontal="center" vertical="center" wrapText="1"/>
    </xf>
    <xf numFmtId="49" fontId="3" fillId="2" borderId="8" xfId="8" applyNumberFormat="1" applyFont="1" applyFill="1" applyBorder="1" applyAlignment="1">
      <alignment horizontal="center" vertical="center" wrapText="1"/>
    </xf>
    <xf numFmtId="49" fontId="3" fillId="2" borderId="7" xfId="8" applyNumberFormat="1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6" fillId="2" borderId="1" xfId="8" applyNumberFormat="1" applyFont="1" applyFill="1" applyBorder="1" applyAlignment="1">
      <alignment horizontal="center" vertical="top" wrapText="1" readingOrder="1"/>
    </xf>
  </cellXfs>
  <cellStyles count="9">
    <cellStyle name="Comma 2" xfId="2"/>
    <cellStyle name="Normal" xfId="0" builtinId="0"/>
    <cellStyle name="Normal 2" xfId="3"/>
    <cellStyle name="Normal 3" xfId="4"/>
    <cellStyle name="Normal 4" xfId="8"/>
    <cellStyle name="Normal 5" xfId="1"/>
    <cellStyle name="Денежный 2" xfId="6"/>
    <cellStyle name="Обычный 2" xfId="5"/>
    <cellStyle name="Обычный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3"/>
  <sheetViews>
    <sheetView tabSelected="1" topLeftCell="A7" zoomScale="120" zoomScaleNormal="120" workbookViewId="0">
      <selection activeCell="O1" sqref="O1:O1048576"/>
    </sheetView>
  </sheetViews>
  <sheetFormatPr defaultColWidth="9" defaultRowHeight="11.25" x14ac:dyDescent="0.2"/>
  <cols>
    <col min="1" max="1" width="2.7109375" style="151" customWidth="1"/>
    <col min="2" max="2" width="25.42578125" style="147" customWidth="1"/>
    <col min="3" max="3" width="8.7109375" style="88" customWidth="1"/>
    <col min="4" max="4" width="8" style="88" customWidth="1"/>
    <col min="5" max="5" width="8.85546875" style="88" customWidth="1"/>
    <col min="6" max="6" width="8.5703125" style="88" customWidth="1"/>
    <col min="7" max="7" width="8.85546875" style="88" customWidth="1"/>
    <col min="8" max="8" width="9" style="88" customWidth="1"/>
    <col min="9" max="9" width="7.7109375" style="88" customWidth="1"/>
    <col min="10" max="10" width="7.85546875" style="88" customWidth="1"/>
    <col min="11" max="11" width="8.5703125" style="88" customWidth="1"/>
    <col min="12" max="12" width="5.85546875" style="88" customWidth="1"/>
    <col min="13" max="13" width="4" style="88" customWidth="1"/>
    <col min="14" max="14" width="6.140625" style="88" customWidth="1"/>
    <col min="15" max="15" width="4.7109375" style="88" customWidth="1"/>
    <col min="16" max="16" width="7" style="88" customWidth="1"/>
    <col min="17" max="17" width="11.140625" style="52" customWidth="1"/>
    <col min="18" max="18" width="10.5703125" style="88" bestFit="1" customWidth="1"/>
    <col min="19" max="16384" width="9" style="88"/>
  </cols>
  <sheetData>
    <row r="1" spans="1:19" ht="36.75" customHeight="1" x14ac:dyDescent="0.2">
      <c r="A1" s="86"/>
      <c r="B1" s="64"/>
      <c r="C1" s="170" t="s">
        <v>405</v>
      </c>
      <c r="D1" s="170"/>
      <c r="E1" s="170"/>
      <c r="F1" s="170"/>
      <c r="G1" s="170"/>
      <c r="H1" s="170"/>
      <c r="I1" s="170"/>
      <c r="J1" s="170"/>
      <c r="K1" s="170"/>
      <c r="L1" s="85"/>
      <c r="M1" s="85"/>
      <c r="N1" s="86"/>
      <c r="O1" s="84"/>
      <c r="P1" s="84"/>
      <c r="Q1" s="50"/>
      <c r="R1" s="87"/>
    </row>
    <row r="3" spans="1:19" ht="110.25" customHeight="1" x14ac:dyDescent="0.2">
      <c r="A3" s="61"/>
      <c r="B3" s="2" t="s">
        <v>0</v>
      </c>
      <c r="C3" s="89" t="s">
        <v>406</v>
      </c>
      <c r="D3" s="89" t="s">
        <v>1</v>
      </c>
      <c r="E3" s="89" t="s">
        <v>2</v>
      </c>
      <c r="F3" s="7" t="s">
        <v>3</v>
      </c>
      <c r="G3" s="7" t="s">
        <v>4</v>
      </c>
      <c r="H3" s="90" t="s">
        <v>5</v>
      </c>
      <c r="I3" s="7" t="s">
        <v>6</v>
      </c>
      <c r="J3" s="7" t="s">
        <v>7</v>
      </c>
      <c r="K3" s="7" t="s">
        <v>8</v>
      </c>
      <c r="L3" s="91" t="s">
        <v>417</v>
      </c>
      <c r="M3" s="91" t="s">
        <v>407</v>
      </c>
      <c r="N3" s="91" t="s">
        <v>9</v>
      </c>
      <c r="O3" s="91" t="s">
        <v>10</v>
      </c>
      <c r="P3" s="91" t="s">
        <v>11</v>
      </c>
      <c r="Q3" s="42" t="s">
        <v>360</v>
      </c>
      <c r="R3" s="87"/>
    </row>
    <row r="4" spans="1:19" ht="45" x14ac:dyDescent="0.2">
      <c r="A4" s="92" t="s">
        <v>12</v>
      </c>
      <c r="B4" s="17" t="s">
        <v>13</v>
      </c>
      <c r="C4" s="39"/>
      <c r="D4" s="39"/>
      <c r="E4" s="39"/>
      <c r="F4" s="39"/>
      <c r="G4" s="39"/>
      <c r="H4" s="39"/>
      <c r="I4" s="39"/>
      <c r="J4" s="39"/>
      <c r="K4" s="39"/>
      <c r="L4" s="93"/>
      <c r="M4" s="93"/>
      <c r="N4" s="8"/>
      <c r="O4" s="94"/>
      <c r="P4" s="94"/>
      <c r="Q4" s="42"/>
      <c r="R4" s="87"/>
    </row>
    <row r="5" spans="1:19" ht="56.25" x14ac:dyDescent="0.2">
      <c r="A5" s="8"/>
      <c r="B5" s="82" t="s">
        <v>62</v>
      </c>
      <c r="C5" s="39">
        <f>D5+E5</f>
        <v>54.965000000000003</v>
      </c>
      <c r="D5" s="39">
        <v>54.965000000000003</v>
      </c>
      <c r="E5" s="39"/>
      <c r="F5" s="39">
        <f>G5+H5</f>
        <v>277.83668</v>
      </c>
      <c r="G5" s="39">
        <v>277.83668</v>
      </c>
      <c r="H5" s="39"/>
      <c r="I5" s="39">
        <f>J5+K5</f>
        <v>44.406550000000003</v>
      </c>
      <c r="J5" s="39">
        <v>44.406550000000003</v>
      </c>
      <c r="K5" s="39"/>
      <c r="L5" s="93">
        <f>I5/C5%</f>
        <v>80.790594014372772</v>
      </c>
      <c r="M5" s="95">
        <v>40</v>
      </c>
      <c r="N5" s="8" t="s">
        <v>144</v>
      </c>
      <c r="O5" s="94" t="s">
        <v>14</v>
      </c>
      <c r="P5" s="82" t="s">
        <v>63</v>
      </c>
      <c r="Q5" s="42"/>
      <c r="R5" s="87"/>
    </row>
    <row r="6" spans="1:19" x14ac:dyDescent="0.2">
      <c r="A6" s="8"/>
      <c r="B6" s="58" t="s">
        <v>15</v>
      </c>
      <c r="C6" s="39">
        <f t="shared" ref="C6:C42" si="0">D6+E6</f>
        <v>54.965000000000003</v>
      </c>
      <c r="D6" s="39">
        <f>SUM(D5:D5)</f>
        <v>54.965000000000003</v>
      </c>
      <c r="E6" s="39">
        <f>SUM(E5:E5)</f>
        <v>0</v>
      </c>
      <c r="F6" s="39">
        <f t="shared" ref="F6:F42" si="1">G6+H6</f>
        <v>277.83668</v>
      </c>
      <c r="G6" s="39">
        <f>SUM(G5:G5)</f>
        <v>277.83668</v>
      </c>
      <c r="H6" s="39">
        <f>SUM(H5:H5)</f>
        <v>0</v>
      </c>
      <c r="I6" s="39">
        <f t="shared" ref="I6:I42" si="2">J6+K6</f>
        <v>44.406550000000003</v>
      </c>
      <c r="J6" s="39">
        <f>SUM(J5:J5)</f>
        <v>44.406550000000003</v>
      </c>
      <c r="K6" s="39">
        <f>SUM(K5:K5)</f>
        <v>0</v>
      </c>
      <c r="L6" s="93">
        <f t="shared" ref="L6:L28" si="3">I6/C6%</f>
        <v>80.790594014372772</v>
      </c>
      <c r="M6" s="93"/>
      <c r="N6" s="8"/>
      <c r="O6" s="96"/>
      <c r="P6" s="94"/>
      <c r="Q6" s="43"/>
      <c r="R6" s="87"/>
    </row>
    <row r="7" spans="1:19" x14ac:dyDescent="0.2">
      <c r="A7" s="8"/>
      <c r="B7" s="58"/>
      <c r="C7" s="39"/>
      <c r="D7" s="39"/>
      <c r="E7" s="39"/>
      <c r="F7" s="39"/>
      <c r="G7" s="39"/>
      <c r="H7" s="39"/>
      <c r="I7" s="39"/>
      <c r="J7" s="39"/>
      <c r="K7" s="39"/>
      <c r="L7" s="93"/>
      <c r="M7" s="93"/>
      <c r="N7" s="8"/>
      <c r="O7" s="94"/>
      <c r="P7" s="94"/>
      <c r="Q7" s="43"/>
      <c r="R7" s="87"/>
    </row>
    <row r="8" spans="1:19" ht="33" customHeight="1" x14ac:dyDescent="0.2">
      <c r="A8" s="97" t="s">
        <v>16</v>
      </c>
      <c r="B8" s="4" t="s">
        <v>17</v>
      </c>
      <c r="C8" s="39"/>
      <c r="D8" s="89"/>
      <c r="E8" s="89"/>
      <c r="F8" s="39"/>
      <c r="G8" s="7"/>
      <c r="H8" s="90"/>
      <c r="I8" s="39"/>
      <c r="J8" s="7"/>
      <c r="K8" s="39"/>
      <c r="L8" s="93"/>
      <c r="M8" s="93"/>
      <c r="N8" s="91"/>
      <c r="O8" s="91"/>
      <c r="P8" s="91"/>
      <c r="Q8" s="42"/>
      <c r="R8" s="87"/>
    </row>
    <row r="9" spans="1:19" ht="79.5" customHeight="1" x14ac:dyDescent="0.2">
      <c r="A9" s="8"/>
      <c r="B9" s="34" t="s">
        <v>361</v>
      </c>
      <c r="C9" s="39">
        <f t="shared" si="0"/>
        <v>1050</v>
      </c>
      <c r="D9" s="7">
        <v>50</v>
      </c>
      <c r="E9" s="7">
        <v>1000</v>
      </c>
      <c r="F9" s="39">
        <f t="shared" si="1"/>
        <v>1973.4214900000002</v>
      </c>
      <c r="G9" s="38">
        <v>393.35649000000001</v>
      </c>
      <c r="H9" s="38">
        <v>1580.0650000000001</v>
      </c>
      <c r="I9" s="39">
        <f t="shared" si="2"/>
        <v>37.948129999999999</v>
      </c>
      <c r="J9" s="7">
        <f>1.1445+0.75291</f>
        <v>1.89741</v>
      </c>
      <c r="K9" s="7">
        <f>21.7454+14.30532</f>
        <v>36.050719999999998</v>
      </c>
      <c r="L9" s="93">
        <f t="shared" si="3"/>
        <v>3.6141076190476191</v>
      </c>
      <c r="M9" s="93">
        <v>40</v>
      </c>
      <c r="N9" s="8" t="s">
        <v>338</v>
      </c>
      <c r="O9" s="9" t="s">
        <v>54</v>
      </c>
      <c r="P9" s="3" t="s">
        <v>57</v>
      </c>
      <c r="Q9" s="42" t="s">
        <v>339</v>
      </c>
      <c r="R9" s="87"/>
    </row>
    <row r="10" spans="1:19" ht="45" x14ac:dyDescent="0.2">
      <c r="A10" s="8"/>
      <c r="B10" s="34" t="s">
        <v>58</v>
      </c>
      <c r="C10" s="39">
        <f t="shared" si="0"/>
        <v>7.4389599999999998</v>
      </c>
      <c r="D10" s="7">
        <v>7.4389599999999998</v>
      </c>
      <c r="E10" s="7"/>
      <c r="F10" s="39">
        <f t="shared" si="1"/>
        <v>152.62199000000001</v>
      </c>
      <c r="G10" s="6">
        <v>152.62199000000001</v>
      </c>
      <c r="H10" s="6"/>
      <c r="I10" s="39">
        <f t="shared" si="2"/>
        <v>7.4389599999999998</v>
      </c>
      <c r="J10" s="7">
        <v>7.4389599999999998</v>
      </c>
      <c r="K10" s="7"/>
      <c r="L10" s="93">
        <f t="shared" si="3"/>
        <v>100</v>
      </c>
      <c r="M10" s="93">
        <v>100</v>
      </c>
      <c r="N10" s="8" t="s">
        <v>145</v>
      </c>
      <c r="O10" s="9" t="s">
        <v>55</v>
      </c>
      <c r="P10" s="3" t="s">
        <v>59</v>
      </c>
      <c r="Q10" s="42" t="s">
        <v>340</v>
      </c>
      <c r="R10" s="98"/>
    </row>
    <row r="11" spans="1:19" ht="45" x14ac:dyDescent="0.2">
      <c r="A11" s="8"/>
      <c r="B11" s="34" t="s">
        <v>60</v>
      </c>
      <c r="C11" s="39">
        <f t="shared" si="0"/>
        <v>3.1566999999999998</v>
      </c>
      <c r="D11" s="99">
        <v>3.1566999999999998</v>
      </c>
      <c r="E11" s="38"/>
      <c r="F11" s="39">
        <f t="shared" si="1"/>
        <v>63.134099999999997</v>
      </c>
      <c r="G11" s="38">
        <v>63.134099999999997</v>
      </c>
      <c r="H11" s="38"/>
      <c r="I11" s="39">
        <f t="shared" si="2"/>
        <v>3.1566999999999998</v>
      </c>
      <c r="J11" s="7">
        <v>3.1566999999999998</v>
      </c>
      <c r="K11" s="7"/>
      <c r="L11" s="93">
        <f t="shared" si="3"/>
        <v>100</v>
      </c>
      <c r="M11" s="93">
        <v>100</v>
      </c>
      <c r="N11" s="8" t="s">
        <v>146</v>
      </c>
      <c r="O11" s="9" t="s">
        <v>56</v>
      </c>
      <c r="P11" s="3" t="s">
        <v>61</v>
      </c>
      <c r="Q11" s="42" t="s">
        <v>341</v>
      </c>
      <c r="R11" s="87"/>
      <c r="S11" s="87"/>
    </row>
    <row r="12" spans="1:19" ht="56.25" x14ac:dyDescent="0.2">
      <c r="A12" s="8"/>
      <c r="B12" s="34" t="s">
        <v>246</v>
      </c>
      <c r="C12" s="39">
        <f t="shared" si="0"/>
        <v>211.7</v>
      </c>
      <c r="D12" s="7">
        <v>11.7</v>
      </c>
      <c r="E12" s="7">
        <v>200</v>
      </c>
      <c r="F12" s="39">
        <f t="shared" si="1"/>
        <v>444.43417999999997</v>
      </c>
      <c r="G12" s="7">
        <v>22.221710000000002</v>
      </c>
      <c r="H12" s="7">
        <v>422.21247</v>
      </c>
      <c r="I12" s="39">
        <f t="shared" si="2"/>
        <v>88.890249999999995</v>
      </c>
      <c r="J12" s="7">
        <f>2.222+2.22225</f>
        <v>4.4442500000000003</v>
      </c>
      <c r="K12" s="7">
        <f>42.223+42.223</f>
        <v>84.445999999999998</v>
      </c>
      <c r="L12" s="93">
        <f t="shared" si="3"/>
        <v>41.988781294284365</v>
      </c>
      <c r="M12" s="93">
        <v>40</v>
      </c>
      <c r="N12" s="8" t="s">
        <v>252</v>
      </c>
      <c r="O12" s="15" t="s">
        <v>239</v>
      </c>
      <c r="P12" s="3" t="s">
        <v>59</v>
      </c>
      <c r="Q12" s="44"/>
      <c r="R12" s="100"/>
      <c r="S12" s="87"/>
    </row>
    <row r="13" spans="1:19" ht="78.75" x14ac:dyDescent="0.2">
      <c r="A13" s="27"/>
      <c r="B13" s="34" t="s">
        <v>247</v>
      </c>
      <c r="C13" s="39">
        <f t="shared" si="0"/>
        <v>68.871510000000001</v>
      </c>
      <c r="D13" s="38"/>
      <c r="E13" s="38">
        <v>68.871510000000001</v>
      </c>
      <c r="F13" s="39">
        <f t="shared" si="1"/>
        <v>425.71478999999999</v>
      </c>
      <c r="G13" s="38">
        <v>170.2859</v>
      </c>
      <c r="H13" s="38">
        <v>255.42889</v>
      </c>
      <c r="I13" s="39">
        <f t="shared" si="2"/>
        <v>8.0885800000000003</v>
      </c>
      <c r="J13" s="7"/>
      <c r="K13" s="7">
        <f>2.55429+5.53429</f>
        <v>8.0885800000000003</v>
      </c>
      <c r="L13" s="93">
        <f t="shared" si="3"/>
        <v>11.744449918406028</v>
      </c>
      <c r="M13" s="93">
        <v>100</v>
      </c>
      <c r="N13" s="8" t="s">
        <v>147</v>
      </c>
      <c r="O13" s="9">
        <v>92</v>
      </c>
      <c r="P13" s="3" t="s">
        <v>18</v>
      </c>
      <c r="Q13" s="42" t="s">
        <v>342</v>
      </c>
      <c r="R13" s="98"/>
      <c r="S13" s="87"/>
    </row>
    <row r="14" spans="1:19" ht="67.5" x14ac:dyDescent="0.2">
      <c r="A14" s="8"/>
      <c r="B14" s="75" t="s">
        <v>165</v>
      </c>
      <c r="C14" s="39">
        <f t="shared" si="0"/>
        <v>22</v>
      </c>
      <c r="D14" s="101">
        <v>22</v>
      </c>
      <c r="E14" s="7"/>
      <c r="F14" s="39">
        <f t="shared" si="1"/>
        <v>22</v>
      </c>
      <c r="G14" s="7">
        <v>22</v>
      </c>
      <c r="H14" s="7"/>
      <c r="I14" s="39">
        <f t="shared" si="2"/>
        <v>22</v>
      </c>
      <c r="J14" s="101">
        <f>11.6596+10.3404</f>
        <v>22</v>
      </c>
      <c r="K14" s="7"/>
      <c r="L14" s="93">
        <f t="shared" si="3"/>
        <v>100</v>
      </c>
      <c r="M14" s="93"/>
      <c r="N14" s="102" t="s">
        <v>328</v>
      </c>
      <c r="O14" s="9">
        <v>1</v>
      </c>
      <c r="P14" s="37" t="s">
        <v>166</v>
      </c>
      <c r="Q14" s="43"/>
      <c r="R14" s="98"/>
      <c r="S14" s="98"/>
    </row>
    <row r="15" spans="1:19" ht="89.25" customHeight="1" x14ac:dyDescent="0.2">
      <c r="A15" s="8"/>
      <c r="B15" s="83" t="s">
        <v>241</v>
      </c>
      <c r="C15" s="39">
        <f t="shared" si="0"/>
        <v>209.97901999999999</v>
      </c>
      <c r="D15" s="101">
        <v>14.12</v>
      </c>
      <c r="E15" s="7">
        <v>195.85901999999999</v>
      </c>
      <c r="F15" s="39">
        <f t="shared" si="1"/>
        <v>283.05473000000001</v>
      </c>
      <c r="G15" s="101">
        <f>14.12+2.632</f>
        <v>16.751999999999999</v>
      </c>
      <c r="H15" s="7">
        <f>195.85902+70.44371</f>
        <v>266.30273</v>
      </c>
      <c r="I15" s="39">
        <f t="shared" si="2"/>
        <v>159.61199999999999</v>
      </c>
      <c r="J15" s="101">
        <f>4.989+7.731</f>
        <v>12.719999999999999</v>
      </c>
      <c r="K15" s="7">
        <v>146.892</v>
      </c>
      <c r="L15" s="93">
        <f t="shared" si="3"/>
        <v>76.013308377189304</v>
      </c>
      <c r="M15" s="80">
        <v>100</v>
      </c>
      <c r="N15" s="152" t="s">
        <v>329</v>
      </c>
      <c r="O15" s="171" t="s">
        <v>168</v>
      </c>
      <c r="P15" s="154" t="s">
        <v>167</v>
      </c>
      <c r="Q15" s="42" t="s">
        <v>343</v>
      </c>
      <c r="R15" s="87"/>
      <c r="S15" s="87"/>
    </row>
    <row r="16" spans="1:19" ht="90" x14ac:dyDescent="0.2">
      <c r="A16" s="8"/>
      <c r="B16" s="83" t="s">
        <v>240</v>
      </c>
      <c r="C16" s="39">
        <f t="shared" si="0"/>
        <v>107.25682999999999</v>
      </c>
      <c r="D16" s="101">
        <v>5.2640000000000002</v>
      </c>
      <c r="E16" s="7">
        <v>101.99283</v>
      </c>
      <c r="F16" s="39">
        <f>G16+H16</f>
        <v>209.88833</v>
      </c>
      <c r="G16" s="101">
        <f>5.264+2.632</f>
        <v>7.8960000000000008</v>
      </c>
      <c r="H16" s="7">
        <f>101.99283+99.9995</f>
        <v>201.99232999999998</v>
      </c>
      <c r="I16" s="39">
        <f t="shared" si="2"/>
        <v>94.801559999999995</v>
      </c>
      <c r="J16" s="101"/>
      <c r="K16" s="7">
        <v>94.801559999999995</v>
      </c>
      <c r="L16" s="93">
        <f t="shared" ref="L16" si="4">I16/C16%</f>
        <v>88.387434161535452</v>
      </c>
      <c r="M16" s="81">
        <v>100</v>
      </c>
      <c r="N16" s="153"/>
      <c r="O16" s="172"/>
      <c r="P16" s="154"/>
      <c r="Q16" s="42" t="s">
        <v>344</v>
      </c>
      <c r="R16" s="87"/>
      <c r="S16" s="87"/>
    </row>
    <row r="17" spans="1:19" ht="67.5" x14ac:dyDescent="0.2">
      <c r="A17" s="8"/>
      <c r="B17" s="53" t="s">
        <v>242</v>
      </c>
      <c r="C17" s="39">
        <f t="shared" si="0"/>
        <v>287.67457999999999</v>
      </c>
      <c r="D17" s="6">
        <v>14.88443</v>
      </c>
      <c r="E17" s="6">
        <v>272.79014999999998</v>
      </c>
      <c r="F17" s="39">
        <f t="shared" si="1"/>
        <v>497.67457999999999</v>
      </c>
      <c r="G17" s="7">
        <v>24.88373</v>
      </c>
      <c r="H17" s="7">
        <v>472.79084999999998</v>
      </c>
      <c r="I17" s="39">
        <f t="shared" si="2"/>
        <v>0</v>
      </c>
      <c r="J17" s="6"/>
      <c r="K17" s="6"/>
      <c r="L17" s="93">
        <f t="shared" si="3"/>
        <v>0</v>
      </c>
      <c r="M17" s="93">
        <v>95</v>
      </c>
      <c r="N17" s="20" t="s">
        <v>345</v>
      </c>
      <c r="O17" s="103">
        <v>86</v>
      </c>
      <c r="P17" s="36" t="s">
        <v>169</v>
      </c>
      <c r="Q17" s="42"/>
      <c r="R17" s="87"/>
      <c r="S17" s="87"/>
    </row>
    <row r="18" spans="1:19" ht="90" x14ac:dyDescent="0.2">
      <c r="A18" s="8"/>
      <c r="B18" s="53" t="s">
        <v>243</v>
      </c>
      <c r="C18" s="39">
        <f t="shared" si="0"/>
        <v>189.87475000000001</v>
      </c>
      <c r="D18" s="7">
        <v>15.304180000000001</v>
      </c>
      <c r="E18" s="7">
        <v>174.57057</v>
      </c>
      <c r="F18" s="39">
        <f t="shared" si="1"/>
        <v>523.6</v>
      </c>
      <c r="G18" s="7">
        <f>14.49374+28.37425</f>
        <v>42.867989999999999</v>
      </c>
      <c r="H18" s="7">
        <f>275.38101+205.351</f>
        <v>480.73201</v>
      </c>
      <c r="I18" s="39">
        <f t="shared" si="2"/>
        <v>0</v>
      </c>
      <c r="J18" s="6"/>
      <c r="K18" s="6"/>
      <c r="L18" s="93">
        <f t="shared" si="3"/>
        <v>0</v>
      </c>
      <c r="M18" s="93">
        <v>95</v>
      </c>
      <c r="N18" s="20" t="s">
        <v>170</v>
      </c>
      <c r="O18" s="103" t="s">
        <v>171</v>
      </c>
      <c r="P18" s="36" t="s">
        <v>169</v>
      </c>
      <c r="Q18" s="42" t="s">
        <v>346</v>
      </c>
      <c r="R18" s="87"/>
      <c r="S18" s="87"/>
    </row>
    <row r="19" spans="1:19" ht="104.25" customHeight="1" x14ac:dyDescent="0.2">
      <c r="A19" s="27"/>
      <c r="B19" s="53" t="s">
        <v>244</v>
      </c>
      <c r="C19" s="39">
        <f t="shared" si="0"/>
        <v>16.551410000000001</v>
      </c>
      <c r="D19" s="7">
        <v>4.7252099999999997</v>
      </c>
      <c r="E19" s="7">
        <v>11.8262</v>
      </c>
      <c r="F19" s="39">
        <f t="shared" si="1"/>
        <v>284.89029999999997</v>
      </c>
      <c r="G19" s="7">
        <f>4.72559+9.51892</f>
        <v>14.24451</v>
      </c>
      <c r="H19" s="7">
        <f>89.7863+180.85949</f>
        <v>270.64578999999998</v>
      </c>
      <c r="I19" s="39">
        <f t="shared" si="2"/>
        <v>0</v>
      </c>
      <c r="J19" s="6"/>
      <c r="K19" s="6"/>
      <c r="L19" s="93">
        <f t="shared" si="3"/>
        <v>0</v>
      </c>
      <c r="M19" s="93">
        <v>100</v>
      </c>
      <c r="N19" s="20" t="s">
        <v>172</v>
      </c>
      <c r="O19" s="103">
        <v>90</v>
      </c>
      <c r="P19" s="36" t="s">
        <v>169</v>
      </c>
      <c r="Q19" s="42" t="s">
        <v>349</v>
      </c>
      <c r="R19" s="87"/>
      <c r="S19" s="87"/>
    </row>
    <row r="20" spans="1:19" ht="101.25" x14ac:dyDescent="0.2">
      <c r="A20" s="8"/>
      <c r="B20" s="65" t="s">
        <v>347</v>
      </c>
      <c r="C20" s="39">
        <f t="shared" si="0"/>
        <v>136.57337000000001</v>
      </c>
      <c r="D20" s="99">
        <v>8.2492800000000006</v>
      </c>
      <c r="E20" s="7">
        <v>128.32409000000001</v>
      </c>
      <c r="F20" s="39">
        <f>G20+H20</f>
        <v>474</v>
      </c>
      <c r="G20" s="7">
        <v>38.700000000000003</v>
      </c>
      <c r="H20" s="7">
        <f>228.32409+206.97591</f>
        <v>435.3</v>
      </c>
      <c r="I20" s="39">
        <f t="shared" si="2"/>
        <v>0</v>
      </c>
      <c r="J20" s="6"/>
      <c r="K20" s="101"/>
      <c r="L20" s="93">
        <f t="shared" si="3"/>
        <v>0</v>
      </c>
      <c r="M20" s="93">
        <v>35</v>
      </c>
      <c r="N20" s="20" t="s">
        <v>173</v>
      </c>
      <c r="O20" s="103" t="s">
        <v>174</v>
      </c>
      <c r="P20" s="36" t="s">
        <v>169</v>
      </c>
      <c r="Q20" s="43" t="s">
        <v>348</v>
      </c>
      <c r="R20" s="98"/>
      <c r="S20" s="98"/>
    </row>
    <row r="21" spans="1:19" ht="64.5" customHeight="1" x14ac:dyDescent="0.2">
      <c r="A21" s="8"/>
      <c r="B21" s="20" t="s">
        <v>253</v>
      </c>
      <c r="C21" s="39">
        <f t="shared" si="0"/>
        <v>10</v>
      </c>
      <c r="D21" s="99">
        <v>10</v>
      </c>
      <c r="E21" s="7"/>
      <c r="F21" s="39">
        <f t="shared" si="1"/>
        <v>10</v>
      </c>
      <c r="G21" s="99">
        <v>10</v>
      </c>
      <c r="H21" s="7"/>
      <c r="I21" s="39">
        <f t="shared" si="2"/>
        <v>0</v>
      </c>
      <c r="J21" s="6"/>
      <c r="K21" s="101"/>
      <c r="L21" s="93">
        <f t="shared" si="3"/>
        <v>0</v>
      </c>
      <c r="M21" s="93"/>
      <c r="N21" s="8" t="s">
        <v>255</v>
      </c>
      <c r="O21" s="9">
        <v>17</v>
      </c>
      <c r="P21" s="40" t="s">
        <v>254</v>
      </c>
      <c r="Q21" s="42"/>
      <c r="R21" s="87"/>
      <c r="S21" s="87"/>
    </row>
    <row r="22" spans="1:19" x14ac:dyDescent="0.2">
      <c r="A22" s="8"/>
      <c r="B22" s="58" t="s">
        <v>249</v>
      </c>
      <c r="C22" s="39"/>
      <c r="D22" s="99"/>
      <c r="E22" s="39">
        <v>5.1000000000000004E-4</v>
      </c>
      <c r="F22" s="39"/>
      <c r="G22" s="39"/>
      <c r="H22" s="39"/>
      <c r="I22" s="39"/>
      <c r="J22" s="104"/>
      <c r="K22" s="105"/>
      <c r="L22" s="93"/>
      <c r="M22" s="93"/>
      <c r="N22" s="8"/>
      <c r="O22" s="9"/>
      <c r="P22" s="3"/>
      <c r="Q22" s="42"/>
      <c r="R22" s="87"/>
      <c r="S22" s="87"/>
    </row>
    <row r="23" spans="1:19" x14ac:dyDescent="0.2">
      <c r="A23" s="8"/>
      <c r="B23" s="26" t="s">
        <v>248</v>
      </c>
      <c r="C23" s="39"/>
      <c r="D23" s="99"/>
      <c r="E23" s="39">
        <v>8.0647900000000003</v>
      </c>
      <c r="F23" s="39"/>
      <c r="G23" s="39"/>
      <c r="H23" s="39"/>
      <c r="I23" s="39"/>
      <c r="J23" s="104"/>
      <c r="K23" s="105"/>
      <c r="L23" s="93"/>
      <c r="M23" s="93"/>
      <c r="N23" s="8"/>
      <c r="O23" s="9"/>
      <c r="P23" s="3"/>
      <c r="Q23" s="42"/>
      <c r="R23" s="87"/>
      <c r="S23" s="87"/>
    </row>
    <row r="24" spans="1:19" x14ac:dyDescent="0.2">
      <c r="A24" s="8"/>
      <c r="B24" s="26" t="s">
        <v>250</v>
      </c>
      <c r="C24" s="39"/>
      <c r="D24" s="99"/>
      <c r="E24" s="39">
        <v>8.1999999999999998E-4</v>
      </c>
      <c r="F24" s="39"/>
      <c r="G24" s="39"/>
      <c r="H24" s="39"/>
      <c r="I24" s="39"/>
      <c r="J24" s="104"/>
      <c r="K24" s="105"/>
      <c r="L24" s="93"/>
      <c r="M24" s="93"/>
      <c r="N24" s="8"/>
      <c r="O24" s="9"/>
      <c r="P24" s="3"/>
      <c r="Q24" s="42"/>
      <c r="R24" s="87"/>
      <c r="S24" s="87"/>
    </row>
    <row r="25" spans="1:19" x14ac:dyDescent="0.2">
      <c r="A25" s="8"/>
      <c r="B25" s="26" t="s">
        <v>251</v>
      </c>
      <c r="C25" s="39"/>
      <c r="D25" s="99"/>
      <c r="E25" s="39">
        <v>1.2999999999999999E-4</v>
      </c>
      <c r="F25" s="39"/>
      <c r="G25" s="39"/>
      <c r="H25" s="39"/>
      <c r="I25" s="39"/>
      <c r="J25" s="104"/>
      <c r="K25" s="105"/>
      <c r="L25" s="93"/>
      <c r="M25" s="93"/>
      <c r="N25" s="8"/>
      <c r="O25" s="9"/>
      <c r="P25" s="3"/>
      <c r="Q25" s="42"/>
      <c r="R25" s="87"/>
      <c r="S25" s="87"/>
    </row>
    <row r="26" spans="1:19" x14ac:dyDescent="0.2">
      <c r="A26" s="8"/>
      <c r="B26" s="66" t="s">
        <v>256</v>
      </c>
      <c r="C26" s="39"/>
      <c r="D26" s="104">
        <v>1.24E-3</v>
      </c>
      <c r="E26" s="104"/>
      <c r="F26" s="39"/>
      <c r="G26" s="104"/>
      <c r="H26" s="104"/>
      <c r="I26" s="39"/>
      <c r="J26" s="105"/>
      <c r="K26" s="106"/>
      <c r="L26" s="93"/>
      <c r="M26" s="93"/>
      <c r="N26" s="20"/>
      <c r="O26" s="103"/>
      <c r="P26" s="28"/>
      <c r="Q26" s="42"/>
      <c r="R26" s="87"/>
      <c r="S26" s="87"/>
    </row>
    <row r="27" spans="1:19" x14ac:dyDescent="0.2">
      <c r="A27" s="8"/>
      <c r="B27" s="26" t="s">
        <v>245</v>
      </c>
      <c r="C27" s="39"/>
      <c r="D27" s="104"/>
      <c r="E27" s="104">
        <v>400</v>
      </c>
      <c r="F27" s="39"/>
      <c r="G27" s="104"/>
      <c r="H27" s="104"/>
      <c r="I27" s="39"/>
      <c r="J27" s="105"/>
      <c r="K27" s="106"/>
      <c r="L27" s="93"/>
      <c r="M27" s="93"/>
      <c r="N27" s="20"/>
      <c r="O27" s="103"/>
      <c r="P27" s="16"/>
      <c r="Q27" s="42"/>
      <c r="R27" s="87"/>
      <c r="S27" s="87"/>
    </row>
    <row r="28" spans="1:19" x14ac:dyDescent="0.2">
      <c r="A28" s="8"/>
      <c r="B28" s="17" t="s">
        <v>15</v>
      </c>
      <c r="C28" s="39">
        <f t="shared" si="0"/>
        <v>2729.1446199999996</v>
      </c>
      <c r="D28" s="39">
        <f>SUM(D9:D27)</f>
        <v>166.84399999999999</v>
      </c>
      <c r="E28" s="39">
        <f>SUM(E9:E27)</f>
        <v>2562.3006199999995</v>
      </c>
      <c r="F28" s="39">
        <f t="shared" si="1"/>
        <v>5364.4344900000006</v>
      </c>
      <c r="G28" s="39">
        <f>SUM(G9:G27)</f>
        <v>978.9644199999999</v>
      </c>
      <c r="H28" s="39">
        <f>SUM(H9:H27)</f>
        <v>4385.4700700000003</v>
      </c>
      <c r="I28" s="39">
        <f t="shared" si="2"/>
        <v>421.93618000000004</v>
      </c>
      <c r="J28" s="39">
        <f>SUM(J9:J27)</f>
        <v>51.657319999999999</v>
      </c>
      <c r="K28" s="39">
        <f>SUM(K9:K27)</f>
        <v>370.27886000000001</v>
      </c>
      <c r="L28" s="93">
        <f t="shared" si="3"/>
        <v>15.460381868660376</v>
      </c>
      <c r="M28" s="93"/>
      <c r="N28" s="8"/>
      <c r="O28" s="94"/>
      <c r="P28" s="94"/>
      <c r="Q28" s="42"/>
      <c r="R28" s="87"/>
      <c r="S28" s="87"/>
    </row>
    <row r="29" spans="1:19" x14ac:dyDescent="0.2">
      <c r="A29" s="8"/>
      <c r="B29" s="17"/>
      <c r="C29" s="39"/>
      <c r="D29" s="39"/>
      <c r="E29" s="39"/>
      <c r="F29" s="39"/>
      <c r="G29" s="39"/>
      <c r="H29" s="39"/>
      <c r="I29" s="39"/>
      <c r="J29" s="39"/>
      <c r="K29" s="39"/>
      <c r="L29" s="93"/>
      <c r="M29" s="93"/>
      <c r="N29" s="8"/>
      <c r="O29" s="94"/>
      <c r="P29" s="94"/>
      <c r="Q29" s="43"/>
      <c r="R29" s="98"/>
      <c r="S29" s="98"/>
    </row>
    <row r="30" spans="1:19" ht="33.75" x14ac:dyDescent="0.2">
      <c r="A30" s="8" t="s">
        <v>19</v>
      </c>
      <c r="B30" s="17" t="s">
        <v>20</v>
      </c>
      <c r="C30" s="39"/>
      <c r="D30" s="39"/>
      <c r="E30" s="39"/>
      <c r="F30" s="39"/>
      <c r="G30" s="39"/>
      <c r="H30" s="39"/>
      <c r="I30" s="39"/>
      <c r="J30" s="39"/>
      <c r="K30" s="39"/>
      <c r="L30" s="93"/>
      <c r="M30" s="93"/>
      <c r="N30" s="8"/>
      <c r="O30" s="94"/>
      <c r="P30" s="94"/>
      <c r="Q30" s="42"/>
      <c r="R30" s="87"/>
      <c r="S30" s="87"/>
    </row>
    <row r="31" spans="1:19" ht="67.5" x14ac:dyDescent="0.2">
      <c r="A31" s="8"/>
      <c r="B31" s="75" t="s">
        <v>175</v>
      </c>
      <c r="C31" s="39">
        <f t="shared" si="0"/>
        <v>1.208</v>
      </c>
      <c r="D31" s="1">
        <v>1.208</v>
      </c>
      <c r="E31" s="39"/>
      <c r="F31" s="39">
        <f t="shared" si="1"/>
        <v>1.208</v>
      </c>
      <c r="G31" s="1">
        <v>1.208</v>
      </c>
      <c r="H31" s="39"/>
      <c r="I31" s="39">
        <f t="shared" si="2"/>
        <v>1.208</v>
      </c>
      <c r="J31" s="39">
        <v>1.208</v>
      </c>
      <c r="K31" s="39"/>
      <c r="L31" s="93">
        <f t="shared" ref="L31:L52" si="5">I31/C31%</f>
        <v>100</v>
      </c>
      <c r="M31" s="93"/>
      <c r="N31" s="8" t="s">
        <v>412</v>
      </c>
      <c r="O31" s="94">
        <v>16</v>
      </c>
      <c r="P31" s="1" t="s">
        <v>176</v>
      </c>
      <c r="Q31" s="43"/>
      <c r="R31" s="87"/>
      <c r="S31" s="87"/>
    </row>
    <row r="32" spans="1:19" ht="56.25" hidden="1" x14ac:dyDescent="0.2">
      <c r="A32" s="8"/>
      <c r="B32" s="53" t="s">
        <v>177</v>
      </c>
      <c r="C32" s="39">
        <f t="shared" si="0"/>
        <v>0</v>
      </c>
      <c r="D32" s="39"/>
      <c r="E32" s="39"/>
      <c r="F32" s="39">
        <f t="shared" si="1"/>
        <v>3.7480000000000002</v>
      </c>
      <c r="G32" s="39">
        <v>3.7480000000000002</v>
      </c>
      <c r="H32" s="39"/>
      <c r="I32" s="39">
        <f t="shared" si="2"/>
        <v>0</v>
      </c>
      <c r="J32" s="39"/>
      <c r="K32" s="39"/>
      <c r="L32" s="93" t="e">
        <f t="shared" si="5"/>
        <v>#DIV/0!</v>
      </c>
      <c r="M32" s="93"/>
      <c r="N32" s="8" t="s">
        <v>178</v>
      </c>
      <c r="O32" s="94" t="s">
        <v>179</v>
      </c>
      <c r="P32" s="53" t="s">
        <v>180</v>
      </c>
      <c r="Q32" s="42"/>
      <c r="R32" s="87"/>
      <c r="S32" s="87"/>
    </row>
    <row r="33" spans="1:17" x14ac:dyDescent="0.2">
      <c r="A33" s="8"/>
      <c r="B33" s="59" t="s">
        <v>15</v>
      </c>
      <c r="C33" s="39">
        <f t="shared" si="0"/>
        <v>1.208</v>
      </c>
      <c r="D33" s="39">
        <f>SUM(D31:D32)</f>
        <v>1.208</v>
      </c>
      <c r="E33" s="39">
        <f>SUM(E31:E32)</f>
        <v>0</v>
      </c>
      <c r="F33" s="39">
        <f t="shared" si="1"/>
        <v>4.9560000000000004</v>
      </c>
      <c r="G33" s="39">
        <f>SUM(G31:G32)</f>
        <v>4.9560000000000004</v>
      </c>
      <c r="H33" s="39">
        <f>SUM(H31:H32)</f>
        <v>0</v>
      </c>
      <c r="I33" s="39">
        <f t="shared" si="2"/>
        <v>1.208</v>
      </c>
      <c r="J33" s="39">
        <f>SUM(J31:J32)</f>
        <v>1.208</v>
      </c>
      <c r="K33" s="39">
        <f>SUM(K31:K32)</f>
        <v>0</v>
      </c>
      <c r="L33" s="93">
        <f t="shared" si="5"/>
        <v>100</v>
      </c>
      <c r="M33" s="93"/>
      <c r="N33" s="8"/>
      <c r="O33" s="94"/>
      <c r="P33" s="83"/>
      <c r="Q33" s="43"/>
    </row>
    <row r="34" spans="1:17" x14ac:dyDescent="0.2">
      <c r="A34" s="8"/>
      <c r="B34" s="59"/>
      <c r="C34" s="39"/>
      <c r="D34" s="39"/>
      <c r="E34" s="39"/>
      <c r="F34" s="39"/>
      <c r="G34" s="39"/>
      <c r="H34" s="39"/>
      <c r="I34" s="39"/>
      <c r="J34" s="39"/>
      <c r="K34" s="39"/>
      <c r="L34" s="93"/>
      <c r="M34" s="93"/>
      <c r="N34" s="8"/>
      <c r="O34" s="94"/>
      <c r="P34" s="83"/>
      <c r="Q34" s="42"/>
    </row>
    <row r="35" spans="1:17" ht="67.5" x14ac:dyDescent="0.2">
      <c r="A35" s="97" t="s">
        <v>21</v>
      </c>
      <c r="B35" s="67" t="s">
        <v>22</v>
      </c>
      <c r="C35" s="39"/>
      <c r="D35" s="89"/>
      <c r="E35" s="89"/>
      <c r="F35" s="39"/>
      <c r="G35" s="89"/>
      <c r="H35" s="89"/>
      <c r="I35" s="39"/>
      <c r="J35" s="89"/>
      <c r="K35" s="89"/>
      <c r="L35" s="93"/>
      <c r="M35" s="93"/>
      <c r="N35" s="91"/>
      <c r="O35" s="91"/>
      <c r="P35" s="91"/>
      <c r="Q35" s="42"/>
    </row>
    <row r="36" spans="1:17" ht="78.75" x14ac:dyDescent="0.2">
      <c r="A36" s="148" t="s">
        <v>257</v>
      </c>
      <c r="B36" s="34" t="s">
        <v>64</v>
      </c>
      <c r="C36" s="39">
        <f t="shared" si="0"/>
        <v>92.376519999999999</v>
      </c>
      <c r="D36" s="6">
        <v>92.376519999999999</v>
      </c>
      <c r="E36" s="6"/>
      <c r="F36" s="39">
        <f t="shared" si="1"/>
        <v>322.37652000000003</v>
      </c>
      <c r="G36" s="6">
        <v>322.37652000000003</v>
      </c>
      <c r="H36" s="6"/>
      <c r="I36" s="39">
        <f t="shared" si="2"/>
        <v>92.376519999999999</v>
      </c>
      <c r="J36" s="6">
        <f>26.91542+29.5343+35.9268</f>
        <v>92.376519999999999</v>
      </c>
      <c r="K36" s="6"/>
      <c r="L36" s="93">
        <f t="shared" si="5"/>
        <v>100</v>
      </c>
      <c r="M36" s="93"/>
      <c r="N36" s="12"/>
      <c r="O36" s="5" t="s">
        <v>65</v>
      </c>
      <c r="P36" s="5" t="s">
        <v>66</v>
      </c>
      <c r="Q36" s="43"/>
    </row>
    <row r="37" spans="1:17" ht="45" x14ac:dyDescent="0.2">
      <c r="A37" s="148"/>
      <c r="B37" s="68" t="s">
        <v>80</v>
      </c>
      <c r="C37" s="39">
        <f t="shared" si="0"/>
        <v>0.5</v>
      </c>
      <c r="D37" s="7">
        <v>0.5</v>
      </c>
      <c r="E37" s="6"/>
      <c r="F37" s="39">
        <f t="shared" si="1"/>
        <v>0.5</v>
      </c>
      <c r="G37" s="6">
        <v>0.5</v>
      </c>
      <c r="H37" s="6"/>
      <c r="I37" s="39">
        <f t="shared" si="2"/>
        <v>0.5</v>
      </c>
      <c r="J37" s="6">
        <v>0.5</v>
      </c>
      <c r="K37" s="6"/>
      <c r="L37" s="93">
        <f t="shared" ref="L37:L39" si="6">I37/C37%</f>
        <v>100</v>
      </c>
      <c r="M37" s="93">
        <v>100</v>
      </c>
      <c r="N37" s="12" t="s">
        <v>330</v>
      </c>
      <c r="O37" s="10" t="s">
        <v>81</v>
      </c>
      <c r="P37" s="5" t="s">
        <v>82</v>
      </c>
      <c r="Q37" s="43"/>
    </row>
    <row r="38" spans="1:17" ht="45" x14ac:dyDescent="0.2">
      <c r="A38" s="8"/>
      <c r="B38" s="34" t="s">
        <v>85</v>
      </c>
      <c r="C38" s="39">
        <f t="shared" si="0"/>
        <v>0.56999999999999995</v>
      </c>
      <c r="D38" s="108">
        <v>0.56999999999999995</v>
      </c>
      <c r="E38" s="7"/>
      <c r="F38" s="39">
        <f t="shared" si="1"/>
        <v>0.56999999999999995</v>
      </c>
      <c r="G38" s="109">
        <v>0.56999999999999995</v>
      </c>
      <c r="H38" s="110"/>
      <c r="I38" s="39">
        <f t="shared" si="2"/>
        <v>0.56999999999999995</v>
      </c>
      <c r="J38" s="7">
        <v>0.56999999999999995</v>
      </c>
      <c r="K38" s="7"/>
      <c r="L38" s="93">
        <f t="shared" si="6"/>
        <v>100</v>
      </c>
      <c r="M38" s="93">
        <v>100</v>
      </c>
      <c r="N38" s="111" t="s">
        <v>263</v>
      </c>
      <c r="O38" s="10" t="s">
        <v>87</v>
      </c>
      <c r="P38" s="5" t="s">
        <v>82</v>
      </c>
      <c r="Q38" s="43"/>
    </row>
    <row r="39" spans="1:17" ht="45" x14ac:dyDescent="0.2">
      <c r="A39" s="148"/>
      <c r="B39" s="11" t="s">
        <v>76</v>
      </c>
      <c r="C39" s="39">
        <f t="shared" si="0"/>
        <v>0.71140000000000003</v>
      </c>
      <c r="D39" s="38">
        <v>0.71140000000000003</v>
      </c>
      <c r="E39" s="6"/>
      <c r="F39" s="39">
        <f t="shared" si="1"/>
        <v>0.71140000000000003</v>
      </c>
      <c r="G39" s="38">
        <v>0.71140000000000003</v>
      </c>
      <c r="H39" s="6"/>
      <c r="I39" s="39">
        <f t="shared" si="2"/>
        <v>0.71140000000000003</v>
      </c>
      <c r="J39" s="6">
        <v>0.71140000000000003</v>
      </c>
      <c r="K39" s="6"/>
      <c r="L39" s="93">
        <f t="shared" si="6"/>
        <v>100</v>
      </c>
      <c r="M39" s="93">
        <v>100</v>
      </c>
      <c r="N39" s="12" t="s">
        <v>77</v>
      </c>
      <c r="O39" s="10" t="s">
        <v>78</v>
      </c>
      <c r="P39" s="82" t="s">
        <v>79</v>
      </c>
      <c r="Q39" s="43"/>
    </row>
    <row r="40" spans="1:17" x14ac:dyDescent="0.2">
      <c r="A40" s="148"/>
      <c r="B40" s="11" t="s">
        <v>256</v>
      </c>
      <c r="C40" s="39"/>
      <c r="D40" s="38">
        <v>5.8420800000000002</v>
      </c>
      <c r="E40" s="6"/>
      <c r="F40" s="39"/>
      <c r="G40" s="38"/>
      <c r="H40" s="6"/>
      <c r="I40" s="39"/>
      <c r="J40" s="6"/>
      <c r="K40" s="6"/>
      <c r="L40" s="93"/>
      <c r="M40" s="93"/>
      <c r="N40" s="12"/>
      <c r="O40" s="10"/>
      <c r="P40" s="82"/>
      <c r="Q40" s="43"/>
    </row>
    <row r="41" spans="1:17" ht="90" x14ac:dyDescent="0.2">
      <c r="A41" s="148"/>
      <c r="B41" s="82" t="s">
        <v>67</v>
      </c>
      <c r="C41" s="39">
        <f t="shared" si="0"/>
        <v>0.6</v>
      </c>
      <c r="D41" s="38">
        <v>0.6</v>
      </c>
      <c r="E41" s="6"/>
      <c r="F41" s="39">
        <f t="shared" si="1"/>
        <v>0.6</v>
      </c>
      <c r="G41" s="38">
        <v>0.6</v>
      </c>
      <c r="H41" s="6"/>
      <c r="I41" s="39">
        <f t="shared" si="2"/>
        <v>0.6</v>
      </c>
      <c r="J41" s="6">
        <v>0.6</v>
      </c>
      <c r="K41" s="6"/>
      <c r="L41" s="93">
        <f t="shared" si="5"/>
        <v>100</v>
      </c>
      <c r="M41" s="93"/>
      <c r="N41" s="12"/>
      <c r="O41" s="112" t="s">
        <v>68</v>
      </c>
      <c r="P41" s="82" t="s">
        <v>69</v>
      </c>
      <c r="Q41" s="42"/>
    </row>
    <row r="42" spans="1:17" ht="90" x14ac:dyDescent="0.2">
      <c r="A42" s="148"/>
      <c r="B42" s="69" t="s">
        <v>70</v>
      </c>
      <c r="C42" s="39">
        <f t="shared" si="0"/>
        <v>0.2</v>
      </c>
      <c r="D42" s="38">
        <v>0.2</v>
      </c>
      <c r="E42" s="6"/>
      <c r="F42" s="39">
        <f t="shared" si="1"/>
        <v>0.2</v>
      </c>
      <c r="G42" s="38">
        <v>0.2</v>
      </c>
      <c r="H42" s="6"/>
      <c r="I42" s="39">
        <f t="shared" si="2"/>
        <v>0.2</v>
      </c>
      <c r="J42" s="6">
        <v>0.2</v>
      </c>
      <c r="K42" s="6"/>
      <c r="L42" s="93">
        <f t="shared" si="5"/>
        <v>100</v>
      </c>
      <c r="M42" s="93"/>
      <c r="N42" s="12"/>
      <c r="O42" s="12" t="s">
        <v>68</v>
      </c>
      <c r="P42" s="82" t="s">
        <v>69</v>
      </c>
      <c r="Q42" s="42"/>
    </row>
    <row r="43" spans="1:17" ht="90" x14ac:dyDescent="0.2">
      <c r="A43" s="148"/>
      <c r="B43" s="11" t="s">
        <v>72</v>
      </c>
      <c r="C43" s="39">
        <f t="shared" ref="C43:C69" si="7">D43+E43</f>
        <v>0.2</v>
      </c>
      <c r="D43" s="6">
        <v>0.2</v>
      </c>
      <c r="E43" s="38"/>
      <c r="F43" s="39">
        <f t="shared" ref="F43:F69" si="8">G43+H43</f>
        <v>0.2</v>
      </c>
      <c r="G43" s="113">
        <v>0.2</v>
      </c>
      <c r="H43" s="6"/>
      <c r="I43" s="39">
        <f t="shared" ref="I43:I69" si="9">J43+K43</f>
        <v>0.2</v>
      </c>
      <c r="J43" s="6">
        <v>0.2</v>
      </c>
      <c r="K43" s="6"/>
      <c r="L43" s="93">
        <f t="shared" si="5"/>
        <v>100</v>
      </c>
      <c r="M43" s="93"/>
      <c r="N43" s="12"/>
      <c r="O43" s="12" t="s">
        <v>71</v>
      </c>
      <c r="P43" s="82" t="s">
        <v>69</v>
      </c>
      <c r="Q43" s="42"/>
    </row>
    <row r="44" spans="1:17" ht="45" x14ac:dyDescent="0.2">
      <c r="A44" s="148"/>
      <c r="B44" s="68" t="s">
        <v>73</v>
      </c>
      <c r="C44" s="39">
        <f t="shared" si="7"/>
        <v>74.540790000000001</v>
      </c>
      <c r="D44" s="38">
        <v>74.540790000000001</v>
      </c>
      <c r="E44" s="6"/>
      <c r="F44" s="39">
        <f t="shared" si="8"/>
        <v>74.540790000000001</v>
      </c>
      <c r="G44" s="38">
        <v>74.540790000000001</v>
      </c>
      <c r="H44" s="6"/>
      <c r="I44" s="39">
        <f t="shared" si="9"/>
        <v>74.540790000000001</v>
      </c>
      <c r="J44" s="6">
        <v>74.540790000000001</v>
      </c>
      <c r="K44" s="6"/>
      <c r="L44" s="93">
        <f t="shared" si="5"/>
        <v>100</v>
      </c>
      <c r="M44" s="93">
        <v>100</v>
      </c>
      <c r="N44" s="12" t="s">
        <v>148</v>
      </c>
      <c r="O44" s="114">
        <v>115</v>
      </c>
      <c r="P44" s="82" t="s">
        <v>74</v>
      </c>
      <c r="Q44" s="42"/>
    </row>
    <row r="45" spans="1:17" ht="78.75" x14ac:dyDescent="0.2">
      <c r="A45" s="148"/>
      <c r="B45" s="34" t="s">
        <v>83</v>
      </c>
      <c r="C45" s="39">
        <f t="shared" si="7"/>
        <v>7.7575000000000003</v>
      </c>
      <c r="D45" s="38">
        <v>7.7575000000000003</v>
      </c>
      <c r="E45" s="6"/>
      <c r="F45" s="39">
        <f t="shared" si="8"/>
        <v>54.737850000000002</v>
      </c>
      <c r="G45" s="38">
        <v>54.737850000000002</v>
      </c>
      <c r="H45" s="6"/>
      <c r="I45" s="39">
        <f t="shared" si="9"/>
        <v>7.7575000000000003</v>
      </c>
      <c r="J45" s="6">
        <v>7.7575000000000003</v>
      </c>
      <c r="K45" s="6"/>
      <c r="L45" s="93">
        <f t="shared" si="5"/>
        <v>100</v>
      </c>
      <c r="M45" s="93"/>
      <c r="N45" s="12" t="s">
        <v>149</v>
      </c>
      <c r="O45" s="10" t="s">
        <v>86</v>
      </c>
      <c r="P45" s="5" t="s">
        <v>84</v>
      </c>
      <c r="Q45" s="42"/>
    </row>
    <row r="46" spans="1:17" ht="78.75" x14ac:dyDescent="0.2">
      <c r="A46" s="8"/>
      <c r="B46" s="40" t="s">
        <v>403</v>
      </c>
      <c r="C46" s="39">
        <f t="shared" si="7"/>
        <v>6.2107799999999997</v>
      </c>
      <c r="D46" s="109">
        <v>6.2107799999999997</v>
      </c>
      <c r="E46" s="7"/>
      <c r="F46" s="39">
        <f t="shared" si="8"/>
        <v>6.2107799999999997</v>
      </c>
      <c r="G46" s="109">
        <v>6.2107799999999997</v>
      </c>
      <c r="H46" s="110"/>
      <c r="I46" s="39">
        <f t="shared" si="9"/>
        <v>5.9171500000000004</v>
      </c>
      <c r="J46" s="7">
        <v>5.9171500000000004</v>
      </c>
      <c r="K46" s="7"/>
      <c r="L46" s="93">
        <f t="shared" si="5"/>
        <v>95.272252438502093</v>
      </c>
      <c r="M46" s="93">
        <v>100</v>
      </c>
      <c r="N46" s="111" t="s">
        <v>402</v>
      </c>
      <c r="O46" s="115" t="s">
        <v>182</v>
      </c>
      <c r="P46" s="37" t="s">
        <v>181</v>
      </c>
      <c r="Q46" s="42"/>
    </row>
    <row r="47" spans="1:17" ht="123.75" x14ac:dyDescent="0.2">
      <c r="A47" s="8"/>
      <c r="B47" s="74" t="s">
        <v>414</v>
      </c>
      <c r="C47" s="39">
        <f t="shared" si="7"/>
        <v>315.94046999999995</v>
      </c>
      <c r="D47" s="7">
        <v>21.0977</v>
      </c>
      <c r="E47" s="7">
        <v>294.84276999999997</v>
      </c>
      <c r="F47" s="39">
        <f t="shared" si="8"/>
        <v>1300.7370100000001</v>
      </c>
      <c r="G47" s="38">
        <f>21.0977+48.93925</f>
        <v>70.036950000000004</v>
      </c>
      <c r="H47" s="6">
        <f>294.84277+935.85729</f>
        <v>1230.7000600000001</v>
      </c>
      <c r="I47" s="39">
        <f t="shared" si="9"/>
        <v>45.337759999999996</v>
      </c>
      <c r="J47" s="7">
        <v>2.2668499999999998</v>
      </c>
      <c r="K47" s="7">
        <v>43.070909999999998</v>
      </c>
      <c r="L47" s="93">
        <f t="shared" si="5"/>
        <v>14.350095763293636</v>
      </c>
      <c r="M47" s="93">
        <v>90</v>
      </c>
      <c r="N47" s="83" t="s">
        <v>413</v>
      </c>
      <c r="O47" s="10" t="s">
        <v>184</v>
      </c>
      <c r="P47" s="37" t="s">
        <v>183</v>
      </c>
      <c r="Q47" s="42" t="s">
        <v>401</v>
      </c>
    </row>
    <row r="48" spans="1:17" x14ac:dyDescent="0.2">
      <c r="A48" s="8"/>
      <c r="B48" s="74" t="s">
        <v>306</v>
      </c>
      <c r="C48" s="39"/>
      <c r="D48" s="39"/>
      <c r="E48" s="7">
        <v>9.5959400000000006</v>
      </c>
      <c r="F48" s="39"/>
      <c r="G48" s="38"/>
      <c r="H48" s="6"/>
      <c r="I48" s="39"/>
      <c r="J48" s="7"/>
      <c r="K48" s="7"/>
      <c r="L48" s="93"/>
      <c r="M48" s="93"/>
      <c r="N48" s="83"/>
      <c r="O48" s="10"/>
      <c r="P48" s="37"/>
      <c r="Q48" s="42"/>
    </row>
    <row r="49" spans="1:19" ht="101.25" x14ac:dyDescent="0.2">
      <c r="A49" s="8"/>
      <c r="B49" s="40" t="s">
        <v>262</v>
      </c>
      <c r="C49" s="39">
        <f t="shared" si="7"/>
        <v>50</v>
      </c>
      <c r="D49" s="108">
        <v>50</v>
      </c>
      <c r="E49" s="109"/>
      <c r="F49" s="39">
        <f t="shared" si="8"/>
        <v>193</v>
      </c>
      <c r="G49" s="109">
        <v>193</v>
      </c>
      <c r="H49" s="109"/>
      <c r="I49" s="39">
        <f t="shared" si="9"/>
        <v>42.980420000000002</v>
      </c>
      <c r="J49" s="7">
        <v>42.980420000000002</v>
      </c>
      <c r="K49" s="7"/>
      <c r="L49" s="93">
        <f t="shared" si="5"/>
        <v>85.960840000000005</v>
      </c>
      <c r="M49" s="93">
        <v>35</v>
      </c>
      <c r="N49" s="111" t="s">
        <v>331</v>
      </c>
      <c r="O49" s="10" t="s">
        <v>186</v>
      </c>
      <c r="P49" s="37" t="s">
        <v>185</v>
      </c>
      <c r="Q49" s="42"/>
    </row>
    <row r="50" spans="1:19" ht="101.25" x14ac:dyDescent="0.2">
      <c r="A50" s="8"/>
      <c r="B50" s="60" t="s">
        <v>258</v>
      </c>
      <c r="C50" s="39">
        <f t="shared" si="7"/>
        <v>30</v>
      </c>
      <c r="D50" s="116">
        <v>30</v>
      </c>
      <c r="E50" s="116"/>
      <c r="F50" s="39">
        <f t="shared" si="8"/>
        <v>57.777000000000001</v>
      </c>
      <c r="G50" s="116">
        <v>57.777000000000001</v>
      </c>
      <c r="H50" s="116"/>
      <c r="I50" s="39">
        <f t="shared" si="9"/>
        <v>0</v>
      </c>
      <c r="J50" s="7"/>
      <c r="K50" s="7"/>
      <c r="L50" s="93">
        <f t="shared" si="5"/>
        <v>0</v>
      </c>
      <c r="M50" s="93"/>
      <c r="N50" s="12" t="s">
        <v>316</v>
      </c>
      <c r="O50" s="10" t="s">
        <v>187</v>
      </c>
      <c r="P50" s="40" t="s">
        <v>259</v>
      </c>
      <c r="Q50" s="45"/>
    </row>
    <row r="51" spans="1:19" ht="78.75" x14ac:dyDescent="0.2">
      <c r="A51" s="8"/>
      <c r="B51" s="20" t="s">
        <v>253</v>
      </c>
      <c r="C51" s="39">
        <f t="shared" si="7"/>
        <v>5</v>
      </c>
      <c r="D51" s="108">
        <v>5</v>
      </c>
      <c r="E51" s="109"/>
      <c r="F51" s="39">
        <f t="shared" si="8"/>
        <v>30</v>
      </c>
      <c r="G51" s="108">
        <v>30</v>
      </c>
      <c r="H51" s="110"/>
      <c r="I51" s="39">
        <f t="shared" si="9"/>
        <v>0</v>
      </c>
      <c r="J51" s="6"/>
      <c r="K51" s="6"/>
      <c r="L51" s="93">
        <f t="shared" si="5"/>
        <v>0</v>
      </c>
      <c r="M51" s="93"/>
      <c r="N51" s="8" t="s">
        <v>332</v>
      </c>
      <c r="O51" s="9">
        <v>17</v>
      </c>
      <c r="P51" s="40" t="s">
        <v>254</v>
      </c>
      <c r="Q51" s="45"/>
    </row>
    <row r="52" spans="1:19" ht="56.25" x14ac:dyDescent="0.2">
      <c r="A52" s="8"/>
      <c r="B52" s="40" t="s">
        <v>309</v>
      </c>
      <c r="C52" s="39">
        <f t="shared" si="7"/>
        <v>0</v>
      </c>
      <c r="D52" s="6"/>
      <c r="E52" s="117"/>
      <c r="F52" s="39">
        <f t="shared" si="8"/>
        <v>70.605000000000004</v>
      </c>
      <c r="G52" s="6">
        <v>70.605000000000004</v>
      </c>
      <c r="H52" s="117"/>
      <c r="I52" s="39">
        <f t="shared" si="9"/>
        <v>0</v>
      </c>
      <c r="J52" s="6"/>
      <c r="K52" s="117"/>
      <c r="L52" s="93" t="e">
        <f t="shared" si="5"/>
        <v>#DIV/0!</v>
      </c>
      <c r="M52" s="93"/>
      <c r="N52" s="12" t="s">
        <v>308</v>
      </c>
      <c r="O52" s="10" t="s">
        <v>190</v>
      </c>
      <c r="P52" s="40" t="s">
        <v>307</v>
      </c>
      <c r="Q52" s="45"/>
    </row>
    <row r="53" spans="1:19" ht="22.5" x14ac:dyDescent="0.2">
      <c r="A53" s="148"/>
      <c r="B53" s="60" t="s">
        <v>260</v>
      </c>
      <c r="C53" s="39"/>
      <c r="D53" s="99"/>
      <c r="E53" s="6">
        <v>7.6999999999999996E-4</v>
      </c>
      <c r="F53" s="39"/>
      <c r="G53" s="99"/>
      <c r="H53" s="6"/>
      <c r="I53" s="39"/>
      <c r="J53" s="6"/>
      <c r="K53" s="6"/>
      <c r="L53" s="93"/>
      <c r="M53" s="93"/>
      <c r="N53" s="23"/>
      <c r="O53" s="15"/>
      <c r="P53" s="5"/>
      <c r="Q53" s="42"/>
      <c r="R53" s="87"/>
      <c r="S53" s="87"/>
    </row>
    <row r="54" spans="1:19" ht="22.5" x14ac:dyDescent="0.2">
      <c r="A54" s="148"/>
      <c r="B54" s="60" t="s">
        <v>261</v>
      </c>
      <c r="C54" s="39"/>
      <c r="D54" s="99"/>
      <c r="E54" s="6">
        <v>1.2768999999999999</v>
      </c>
      <c r="F54" s="39"/>
      <c r="G54" s="99"/>
      <c r="H54" s="6"/>
      <c r="I54" s="39"/>
      <c r="J54" s="6"/>
      <c r="K54" s="6"/>
      <c r="L54" s="93"/>
      <c r="M54" s="93"/>
      <c r="N54" s="23"/>
      <c r="O54" s="15"/>
      <c r="P54" s="5"/>
      <c r="Q54" s="42"/>
      <c r="R54" s="87"/>
      <c r="S54" s="87"/>
    </row>
    <row r="55" spans="1:19" x14ac:dyDescent="0.2">
      <c r="A55" s="148"/>
      <c r="B55" s="60"/>
      <c r="C55" s="39"/>
      <c r="D55" s="99">
        <v>46.981229999999996</v>
      </c>
      <c r="E55" s="6"/>
      <c r="F55" s="39"/>
      <c r="G55" s="99"/>
      <c r="H55" s="6"/>
      <c r="I55" s="39"/>
      <c r="J55" s="6"/>
      <c r="K55" s="6"/>
      <c r="L55" s="93"/>
      <c r="M55" s="93"/>
      <c r="N55" s="23"/>
      <c r="O55" s="15"/>
      <c r="P55" s="5"/>
      <c r="Q55" s="42"/>
      <c r="R55" s="87"/>
      <c r="S55" s="87"/>
    </row>
    <row r="56" spans="1:19" x14ac:dyDescent="0.2">
      <c r="A56" s="8"/>
      <c r="B56" s="70" t="s">
        <v>15</v>
      </c>
      <c r="C56" s="39">
        <f t="shared" si="7"/>
        <v>648.30437999999992</v>
      </c>
      <c r="D56" s="90">
        <f>SUM(D36:D55)</f>
        <v>342.58799999999997</v>
      </c>
      <c r="E56" s="90">
        <f>SUM(E36:E54)</f>
        <v>305.71637999999996</v>
      </c>
      <c r="F56" s="39">
        <f t="shared" si="8"/>
        <v>2112.7663500000003</v>
      </c>
      <c r="G56" s="90">
        <f>SUM(G36:G52)</f>
        <v>882.06629000000009</v>
      </c>
      <c r="H56" s="90">
        <f>SUM(H36:H52)</f>
        <v>1230.7000600000001</v>
      </c>
      <c r="I56" s="39">
        <f t="shared" si="9"/>
        <v>271.69154000000003</v>
      </c>
      <c r="J56" s="90">
        <f>SUM(J36:J52)</f>
        <v>228.62063000000001</v>
      </c>
      <c r="K56" s="90">
        <f>SUM(K36:K52)</f>
        <v>43.070909999999998</v>
      </c>
      <c r="L56" s="93">
        <f t="shared" ref="L56:L109" si="10">I56/C56%</f>
        <v>41.908021661059898</v>
      </c>
      <c r="M56" s="93"/>
      <c r="N56" s="8"/>
      <c r="O56" s="118"/>
      <c r="P56" s="94"/>
      <c r="Q56" s="42"/>
      <c r="R56" s="87"/>
      <c r="S56" s="87"/>
    </row>
    <row r="57" spans="1:19" x14ac:dyDescent="0.2">
      <c r="A57" s="8"/>
      <c r="B57" s="70"/>
      <c r="C57" s="39"/>
      <c r="D57" s="90"/>
      <c r="E57" s="90"/>
      <c r="F57" s="39"/>
      <c r="G57" s="90"/>
      <c r="H57" s="90"/>
      <c r="I57" s="39"/>
      <c r="J57" s="90"/>
      <c r="K57" s="90"/>
      <c r="L57" s="93"/>
      <c r="M57" s="93"/>
      <c r="N57" s="8"/>
      <c r="O57" s="118"/>
      <c r="P57" s="94"/>
      <c r="Q57" s="43"/>
      <c r="R57" s="98"/>
      <c r="S57" s="98"/>
    </row>
    <row r="58" spans="1:19" ht="67.5" x14ac:dyDescent="0.2">
      <c r="A58" s="97" t="s">
        <v>23</v>
      </c>
      <c r="B58" s="14" t="s">
        <v>24</v>
      </c>
      <c r="C58" s="39"/>
      <c r="D58" s="89"/>
      <c r="E58" s="89"/>
      <c r="F58" s="39"/>
      <c r="G58" s="7"/>
      <c r="H58" s="90"/>
      <c r="I58" s="39"/>
      <c r="J58" s="7"/>
      <c r="K58" s="7"/>
      <c r="L58" s="93"/>
      <c r="M58" s="93"/>
      <c r="N58" s="91"/>
      <c r="O58" s="91"/>
      <c r="P58" s="91"/>
      <c r="Q58" s="42"/>
      <c r="R58" s="87"/>
      <c r="S58" s="87"/>
    </row>
    <row r="59" spans="1:19" ht="78.75" x14ac:dyDescent="0.2">
      <c r="A59" s="8"/>
      <c r="B59" s="34" t="s">
        <v>88</v>
      </c>
      <c r="C59" s="39">
        <f t="shared" si="7"/>
        <v>281.65206000000001</v>
      </c>
      <c r="D59" s="7">
        <f>97.0288+100.35218+84.27108</f>
        <v>281.65206000000001</v>
      </c>
      <c r="E59" s="6"/>
      <c r="F59" s="39">
        <f t="shared" si="8"/>
        <v>791.65206000000001</v>
      </c>
      <c r="G59" s="7">
        <v>791.65206000000001</v>
      </c>
      <c r="H59" s="6"/>
      <c r="I59" s="39">
        <f t="shared" si="9"/>
        <v>281.65206000000001</v>
      </c>
      <c r="J59" s="7">
        <f>97.0288+100.35218+84.27108</f>
        <v>281.65206000000001</v>
      </c>
      <c r="K59" s="6"/>
      <c r="L59" s="93">
        <f t="shared" si="10"/>
        <v>100</v>
      </c>
      <c r="M59" s="93"/>
      <c r="N59" s="13"/>
      <c r="O59" s="5" t="s">
        <v>75</v>
      </c>
      <c r="P59" s="5" t="s">
        <v>66</v>
      </c>
      <c r="Q59" s="42"/>
      <c r="R59" s="87"/>
      <c r="S59" s="87"/>
    </row>
    <row r="60" spans="1:19" ht="45" x14ac:dyDescent="0.2">
      <c r="A60" s="8"/>
      <c r="B60" s="34" t="s">
        <v>89</v>
      </c>
      <c r="C60" s="39">
        <f t="shared" si="7"/>
        <v>83.745999999999995</v>
      </c>
      <c r="D60" s="7">
        <v>83.745999999999995</v>
      </c>
      <c r="E60" s="6"/>
      <c r="F60" s="39">
        <f t="shared" si="8"/>
        <v>334.98500000000001</v>
      </c>
      <c r="G60" s="7">
        <v>334.98500000000001</v>
      </c>
      <c r="H60" s="6"/>
      <c r="I60" s="39">
        <f t="shared" si="9"/>
        <v>79.081099999999992</v>
      </c>
      <c r="J60" s="7">
        <f>24.4181+27.001+27.662</f>
        <v>79.081099999999992</v>
      </c>
      <c r="K60" s="6"/>
      <c r="L60" s="93">
        <f t="shared" si="10"/>
        <v>94.429704105270687</v>
      </c>
      <c r="M60" s="93"/>
      <c r="N60" s="13" t="s">
        <v>333</v>
      </c>
      <c r="O60" s="13" t="s">
        <v>90</v>
      </c>
      <c r="P60" s="13" t="s">
        <v>91</v>
      </c>
      <c r="Q60" s="42"/>
      <c r="R60" s="87"/>
      <c r="S60" s="87"/>
    </row>
    <row r="61" spans="1:19" x14ac:dyDescent="0.2">
      <c r="A61" s="8"/>
      <c r="B61" s="71"/>
      <c r="C61" s="39">
        <f t="shared" si="7"/>
        <v>0.60194000000000003</v>
      </c>
      <c r="D61" s="7">
        <v>0.60194000000000003</v>
      </c>
      <c r="E61" s="6"/>
      <c r="F61" s="39">
        <f t="shared" si="8"/>
        <v>0</v>
      </c>
      <c r="G61" s="7"/>
      <c r="H61" s="6"/>
      <c r="I61" s="39">
        <f t="shared" si="9"/>
        <v>0</v>
      </c>
      <c r="J61" s="7"/>
      <c r="K61" s="6"/>
      <c r="L61" s="93">
        <f t="shared" si="10"/>
        <v>0</v>
      </c>
      <c r="M61" s="93"/>
      <c r="N61" s="13"/>
      <c r="O61" s="16"/>
      <c r="P61" s="16"/>
      <c r="Q61" s="42"/>
      <c r="R61" s="87"/>
      <c r="S61" s="87"/>
    </row>
    <row r="62" spans="1:19" x14ac:dyDescent="0.2">
      <c r="A62" s="8"/>
      <c r="B62" s="72" t="s">
        <v>15</v>
      </c>
      <c r="C62" s="39">
        <f t="shared" si="7"/>
        <v>366</v>
      </c>
      <c r="D62" s="6">
        <f>SUM(D59:D61)</f>
        <v>366</v>
      </c>
      <c r="E62" s="6">
        <f>SUM(E59:E61)</f>
        <v>0</v>
      </c>
      <c r="F62" s="39">
        <f t="shared" si="8"/>
        <v>1126.63706</v>
      </c>
      <c r="G62" s="6">
        <f>SUM(G59:G61)</f>
        <v>1126.63706</v>
      </c>
      <c r="H62" s="6">
        <f>SUM(H59:H61)</f>
        <v>0</v>
      </c>
      <c r="I62" s="39">
        <f t="shared" si="9"/>
        <v>360.73316</v>
      </c>
      <c r="J62" s="6">
        <f>SUM(J59:J61)</f>
        <v>360.73316</v>
      </c>
      <c r="K62" s="6">
        <f>SUM(K59:K61)</f>
        <v>0</v>
      </c>
      <c r="L62" s="93">
        <f t="shared" si="10"/>
        <v>98.560972677595629</v>
      </c>
      <c r="M62" s="93"/>
      <c r="N62" s="8"/>
      <c r="O62" s="94"/>
      <c r="P62" s="94"/>
      <c r="Q62" s="42"/>
      <c r="R62" s="87"/>
      <c r="S62" s="87"/>
    </row>
    <row r="63" spans="1:19" x14ac:dyDescent="0.2">
      <c r="A63" s="8"/>
      <c r="B63" s="72"/>
      <c r="C63" s="39"/>
      <c r="D63" s="6"/>
      <c r="E63" s="6"/>
      <c r="F63" s="39"/>
      <c r="G63" s="6"/>
      <c r="H63" s="6"/>
      <c r="I63" s="39"/>
      <c r="J63" s="6"/>
      <c r="K63" s="6"/>
      <c r="L63" s="93"/>
      <c r="M63" s="93"/>
      <c r="N63" s="8"/>
      <c r="O63" s="94"/>
      <c r="P63" s="94"/>
      <c r="Q63" s="43"/>
      <c r="R63" s="87"/>
      <c r="S63" s="87"/>
    </row>
    <row r="64" spans="1:19" ht="67.5" x14ac:dyDescent="0.2">
      <c r="A64" s="97" t="s">
        <v>25</v>
      </c>
      <c r="B64" s="61" t="s">
        <v>26</v>
      </c>
      <c r="C64" s="39"/>
      <c r="D64" s="89"/>
      <c r="E64" s="89"/>
      <c r="F64" s="39"/>
      <c r="G64" s="7"/>
      <c r="H64" s="90"/>
      <c r="I64" s="39"/>
      <c r="J64" s="7"/>
      <c r="K64" s="7"/>
      <c r="L64" s="93"/>
      <c r="M64" s="93"/>
      <c r="N64" s="91"/>
      <c r="O64" s="91"/>
      <c r="P64" s="91"/>
      <c r="Q64" s="42"/>
      <c r="R64" s="87"/>
      <c r="S64" s="87"/>
    </row>
    <row r="65" spans="1:19" ht="53.25" customHeight="1" x14ac:dyDescent="0.2">
      <c r="A65" s="8"/>
      <c r="B65" s="34" t="s">
        <v>92</v>
      </c>
      <c r="C65" s="39">
        <f t="shared" si="7"/>
        <v>0.3</v>
      </c>
      <c r="D65" s="7">
        <v>0.3</v>
      </c>
      <c r="E65" s="6"/>
      <c r="F65" s="39">
        <f t="shared" si="8"/>
        <v>0.3</v>
      </c>
      <c r="G65" s="7">
        <v>0.3</v>
      </c>
      <c r="H65" s="6"/>
      <c r="I65" s="39">
        <f t="shared" si="9"/>
        <v>0.3</v>
      </c>
      <c r="J65" s="7">
        <v>0.3</v>
      </c>
      <c r="K65" s="6"/>
      <c r="L65" s="93">
        <f t="shared" si="10"/>
        <v>100</v>
      </c>
      <c r="M65" s="93"/>
      <c r="N65" s="20"/>
      <c r="O65" s="5" t="s">
        <v>93</v>
      </c>
      <c r="P65" s="5" t="s">
        <v>69</v>
      </c>
      <c r="Q65" s="45"/>
    </row>
    <row r="66" spans="1:19" ht="57" customHeight="1" x14ac:dyDescent="0.2">
      <c r="A66" s="8"/>
      <c r="B66" s="34" t="s">
        <v>94</v>
      </c>
      <c r="C66" s="39">
        <f t="shared" si="7"/>
        <v>0.3</v>
      </c>
      <c r="D66" s="6">
        <v>0.3</v>
      </c>
      <c r="E66" s="6"/>
      <c r="F66" s="39">
        <f t="shared" si="8"/>
        <v>0.3</v>
      </c>
      <c r="G66" s="6">
        <v>0.3</v>
      </c>
      <c r="H66" s="6"/>
      <c r="I66" s="39">
        <f t="shared" si="9"/>
        <v>0.3</v>
      </c>
      <c r="J66" s="6">
        <v>0.3</v>
      </c>
      <c r="K66" s="6"/>
      <c r="L66" s="93">
        <f t="shared" si="10"/>
        <v>100</v>
      </c>
      <c r="M66" s="93"/>
      <c r="N66" s="20"/>
      <c r="O66" s="5" t="s">
        <v>93</v>
      </c>
      <c r="P66" s="5" t="s">
        <v>69</v>
      </c>
      <c r="Q66" s="45"/>
    </row>
    <row r="67" spans="1:19" ht="45" x14ac:dyDescent="0.2">
      <c r="A67" s="8"/>
      <c r="B67" s="75" t="s">
        <v>191</v>
      </c>
      <c r="C67" s="39">
        <f t="shared" si="7"/>
        <v>17.878219999999999</v>
      </c>
      <c r="D67" s="6">
        <v>17.878219999999999</v>
      </c>
      <c r="E67" s="6"/>
      <c r="F67" s="39">
        <f t="shared" si="8"/>
        <v>17.878219999999999</v>
      </c>
      <c r="G67" s="6">
        <v>17.878219999999999</v>
      </c>
      <c r="H67" s="6"/>
      <c r="I67" s="39">
        <f t="shared" si="9"/>
        <v>17.878219999999999</v>
      </c>
      <c r="J67" s="6">
        <v>17.878219999999999</v>
      </c>
      <c r="K67" s="6"/>
      <c r="L67" s="93">
        <f t="shared" si="10"/>
        <v>99.999999999999986</v>
      </c>
      <c r="M67" s="93">
        <v>100</v>
      </c>
      <c r="N67" s="20" t="s">
        <v>335</v>
      </c>
      <c r="O67" s="36">
        <v>158</v>
      </c>
      <c r="P67" s="28" t="s">
        <v>336</v>
      </c>
      <c r="Q67" s="45"/>
    </row>
    <row r="68" spans="1:19" ht="101.25" x14ac:dyDescent="0.2">
      <c r="A68" s="8"/>
      <c r="B68" s="40" t="s">
        <v>264</v>
      </c>
      <c r="C68" s="39">
        <f t="shared" si="7"/>
        <v>100</v>
      </c>
      <c r="D68" s="113">
        <v>100</v>
      </c>
      <c r="E68" s="6"/>
      <c r="F68" s="39">
        <f t="shared" si="8"/>
        <v>286.5</v>
      </c>
      <c r="G68" s="113">
        <v>286.5</v>
      </c>
      <c r="H68" s="6"/>
      <c r="I68" s="39">
        <f t="shared" si="9"/>
        <v>0</v>
      </c>
      <c r="J68" s="6"/>
      <c r="K68" s="6"/>
      <c r="L68" s="93">
        <f t="shared" si="10"/>
        <v>0</v>
      </c>
      <c r="M68" s="93">
        <v>30</v>
      </c>
      <c r="N68" s="20" t="s">
        <v>334</v>
      </c>
      <c r="O68" s="5">
        <v>20</v>
      </c>
      <c r="P68" s="40" t="s">
        <v>265</v>
      </c>
      <c r="Q68" s="45"/>
    </row>
    <row r="69" spans="1:19" ht="45" x14ac:dyDescent="0.2">
      <c r="A69" s="8"/>
      <c r="B69" s="34" t="s">
        <v>399</v>
      </c>
      <c r="C69" s="39">
        <f t="shared" si="7"/>
        <v>0</v>
      </c>
      <c r="D69" s="113"/>
      <c r="E69" s="6"/>
      <c r="F69" s="39">
        <f t="shared" si="8"/>
        <v>74.989689999999996</v>
      </c>
      <c r="G69" s="113">
        <v>74.989689999999996</v>
      </c>
      <c r="H69" s="6"/>
      <c r="I69" s="39">
        <f t="shared" si="9"/>
        <v>0</v>
      </c>
      <c r="J69" s="6"/>
      <c r="K69" s="6"/>
      <c r="L69" s="93" t="e">
        <f t="shared" si="10"/>
        <v>#DIV/0!</v>
      </c>
      <c r="M69" s="93">
        <v>0</v>
      </c>
      <c r="N69" s="20" t="s">
        <v>400</v>
      </c>
      <c r="O69" s="5">
        <v>39</v>
      </c>
      <c r="P69" s="5" t="s">
        <v>398</v>
      </c>
      <c r="Q69" s="45"/>
    </row>
    <row r="70" spans="1:19" ht="38.25" customHeight="1" x14ac:dyDescent="0.2">
      <c r="A70" s="8"/>
      <c r="B70" s="1" t="s">
        <v>299</v>
      </c>
      <c r="C70" s="39">
        <f t="shared" ref="C70:C125" si="11">D70+E70</f>
        <v>0</v>
      </c>
      <c r="D70" s="6"/>
      <c r="E70" s="6"/>
      <c r="F70" s="39">
        <f t="shared" ref="E70:F125" si="12">G70+H70</f>
        <v>3</v>
      </c>
      <c r="G70" s="6">
        <v>3</v>
      </c>
      <c r="H70" s="6"/>
      <c r="I70" s="39">
        <f t="shared" ref="I70:I125" si="13">J70+K70</f>
        <v>0</v>
      </c>
      <c r="J70" s="6"/>
      <c r="K70" s="6"/>
      <c r="L70" s="93" t="e">
        <f t="shared" si="10"/>
        <v>#DIV/0!</v>
      </c>
      <c r="M70" s="93"/>
      <c r="N70" s="20" t="s">
        <v>298</v>
      </c>
      <c r="O70" s="48" t="s">
        <v>221</v>
      </c>
      <c r="P70" s="28" t="s">
        <v>351</v>
      </c>
      <c r="Q70" s="45"/>
    </row>
    <row r="71" spans="1:19" x14ac:dyDescent="0.2">
      <c r="A71" s="8"/>
      <c r="B71" s="62"/>
      <c r="C71" s="39"/>
      <c r="D71" s="6">
        <v>164.50077999999999</v>
      </c>
      <c r="E71" s="6"/>
      <c r="F71" s="39"/>
      <c r="G71" s="6"/>
      <c r="H71" s="6"/>
      <c r="I71" s="39"/>
      <c r="J71" s="6"/>
      <c r="K71" s="6"/>
      <c r="L71" s="93"/>
      <c r="M71" s="93"/>
      <c r="N71" s="20"/>
      <c r="O71" s="16"/>
      <c r="P71" s="1"/>
      <c r="Q71" s="45"/>
    </row>
    <row r="72" spans="1:19" x14ac:dyDescent="0.2">
      <c r="A72" s="8"/>
      <c r="B72" s="72" t="s">
        <v>15</v>
      </c>
      <c r="C72" s="39">
        <f t="shared" si="11"/>
        <v>282.97899999999998</v>
      </c>
      <c r="D72" s="6">
        <f>SUM(D65:D71)</f>
        <v>282.97899999999998</v>
      </c>
      <c r="E72" s="6">
        <f>SUM(E65:E71)</f>
        <v>0</v>
      </c>
      <c r="F72" s="39">
        <f t="shared" si="12"/>
        <v>382.96791000000002</v>
      </c>
      <c r="G72" s="6">
        <f>SUM(G65:G71)</f>
        <v>382.96791000000002</v>
      </c>
      <c r="H72" s="6">
        <f>SUM(H65:H71)</f>
        <v>0</v>
      </c>
      <c r="I72" s="39">
        <f t="shared" si="13"/>
        <v>18.47822</v>
      </c>
      <c r="J72" s="6">
        <f>SUM(J65:J71)</f>
        <v>18.47822</v>
      </c>
      <c r="K72" s="6">
        <f>SUM(K65:K71)</f>
        <v>0</v>
      </c>
      <c r="L72" s="93">
        <f t="shared" si="10"/>
        <v>6.5298909106329441</v>
      </c>
      <c r="M72" s="93"/>
      <c r="N72" s="119"/>
      <c r="O72" s="94"/>
      <c r="P72" s="94"/>
      <c r="Q72" s="46"/>
    </row>
    <row r="73" spans="1:19" x14ac:dyDescent="0.2">
      <c r="A73" s="8"/>
      <c r="B73" s="73"/>
      <c r="C73" s="39"/>
      <c r="D73" s="6"/>
      <c r="E73" s="6"/>
      <c r="F73" s="39"/>
      <c r="G73" s="6"/>
      <c r="H73" s="6"/>
      <c r="I73" s="39"/>
      <c r="J73" s="6"/>
      <c r="K73" s="6"/>
      <c r="L73" s="93"/>
      <c r="M73" s="93"/>
      <c r="N73" s="8"/>
      <c r="O73" s="94"/>
      <c r="P73" s="94"/>
      <c r="Q73" s="43"/>
      <c r="R73" s="87"/>
      <c r="S73" s="87"/>
    </row>
    <row r="74" spans="1:19" ht="45" x14ac:dyDescent="0.2">
      <c r="A74" s="97" t="s">
        <v>27</v>
      </c>
      <c r="B74" s="67" t="s">
        <v>28</v>
      </c>
      <c r="C74" s="39"/>
      <c r="D74" s="89"/>
      <c r="E74" s="89"/>
      <c r="F74" s="39"/>
      <c r="G74" s="7"/>
      <c r="H74" s="90"/>
      <c r="I74" s="39"/>
      <c r="J74" s="7"/>
      <c r="K74" s="7"/>
      <c r="L74" s="93"/>
      <c r="M74" s="93"/>
      <c r="N74" s="91"/>
      <c r="O74" s="91"/>
      <c r="P74" s="91"/>
      <c r="Q74" s="42"/>
      <c r="R74" s="87"/>
      <c r="S74" s="87"/>
    </row>
    <row r="75" spans="1:19" ht="67.5" x14ac:dyDescent="0.2">
      <c r="A75" s="8"/>
      <c r="B75" s="34" t="s">
        <v>373</v>
      </c>
      <c r="C75" s="39">
        <f t="shared" si="11"/>
        <v>10.661099999999999</v>
      </c>
      <c r="D75" s="7">
        <v>10.661099999999999</v>
      </c>
      <c r="E75" s="6"/>
      <c r="F75" s="39">
        <f t="shared" si="12"/>
        <v>10.661099999999999</v>
      </c>
      <c r="G75" s="7">
        <v>10.661099999999999</v>
      </c>
      <c r="H75" s="6"/>
      <c r="I75" s="39">
        <f t="shared" si="13"/>
        <v>10.300559999999999</v>
      </c>
      <c r="J75" s="7">
        <f>0.51503+9.78553</f>
        <v>10.300559999999999</v>
      </c>
      <c r="K75" s="6"/>
      <c r="L75" s="93">
        <f t="shared" si="10"/>
        <v>96.618172608830221</v>
      </c>
      <c r="M75" s="93">
        <v>100</v>
      </c>
      <c r="N75" s="8" t="s">
        <v>267</v>
      </c>
      <c r="O75" s="13" t="s">
        <v>96</v>
      </c>
      <c r="P75" s="5" t="s">
        <v>97</v>
      </c>
      <c r="Q75" s="42"/>
      <c r="R75" s="87"/>
      <c r="S75" s="87"/>
    </row>
    <row r="76" spans="1:19" ht="78.75" x14ac:dyDescent="0.2">
      <c r="A76" s="8"/>
      <c r="B76" s="34" t="s">
        <v>372</v>
      </c>
      <c r="C76" s="39">
        <f t="shared" si="11"/>
        <v>5.8132999999999999</v>
      </c>
      <c r="D76" s="7">
        <v>5.8132999999999999</v>
      </c>
      <c r="E76" s="6"/>
      <c r="F76" s="39">
        <f t="shared" si="12"/>
        <v>5.8132999999999999</v>
      </c>
      <c r="G76" s="7">
        <v>5.8132999999999999</v>
      </c>
      <c r="H76" s="6"/>
      <c r="I76" s="39">
        <f t="shared" si="13"/>
        <v>5.6167300000000004</v>
      </c>
      <c r="J76" s="7">
        <f>0.28084+5.33589</f>
        <v>5.6167300000000004</v>
      </c>
      <c r="K76" s="6"/>
      <c r="L76" s="93">
        <f t="shared" si="10"/>
        <v>96.618615932430814</v>
      </c>
      <c r="M76" s="93">
        <v>100</v>
      </c>
      <c r="N76" s="8" t="s">
        <v>267</v>
      </c>
      <c r="O76" s="13" t="s">
        <v>96</v>
      </c>
      <c r="P76" s="5" t="s">
        <v>97</v>
      </c>
      <c r="Q76" s="43"/>
      <c r="R76" s="98"/>
      <c r="S76" s="87"/>
    </row>
    <row r="77" spans="1:19" ht="67.5" x14ac:dyDescent="0.2">
      <c r="A77" s="8"/>
      <c r="B77" s="74" t="s">
        <v>374</v>
      </c>
      <c r="C77" s="39">
        <f t="shared" ref="C77:C82" si="14">D77+E77</f>
        <v>1.3575999999999999</v>
      </c>
      <c r="D77" s="7">
        <v>1.3575999999999999</v>
      </c>
      <c r="E77" s="6"/>
      <c r="F77" s="39">
        <f t="shared" ref="F77:F82" si="15">G77+H77</f>
        <v>23.630880000000001</v>
      </c>
      <c r="G77" s="7">
        <f>22.27328+1.3576</f>
        <v>23.630880000000001</v>
      </c>
      <c r="H77" s="113"/>
      <c r="I77" s="39">
        <f t="shared" ref="I77:I82" si="16">J77+K77</f>
        <v>1.3575999999999999</v>
      </c>
      <c r="J77" s="7">
        <v>1.3575999999999999</v>
      </c>
      <c r="K77" s="6"/>
      <c r="L77" s="93">
        <f t="shared" ref="L77:L82" si="17">I77/C77%</f>
        <v>100</v>
      </c>
      <c r="M77" s="80"/>
      <c r="N77" s="165" t="s">
        <v>154</v>
      </c>
      <c r="O77" s="163" t="s">
        <v>113</v>
      </c>
      <c r="P77" s="167" t="s">
        <v>114</v>
      </c>
      <c r="Q77" s="45" t="s">
        <v>365</v>
      </c>
    </row>
    <row r="78" spans="1:19" ht="67.5" x14ac:dyDescent="0.2">
      <c r="A78" s="8"/>
      <c r="B78" s="74" t="s">
        <v>112</v>
      </c>
      <c r="C78" s="39">
        <f t="shared" si="14"/>
        <v>0.57789000000000001</v>
      </c>
      <c r="D78" s="7">
        <v>0.57789000000000001</v>
      </c>
      <c r="E78" s="6"/>
      <c r="F78" s="39">
        <f t="shared" si="15"/>
        <v>15.07888</v>
      </c>
      <c r="G78" s="7">
        <f>14.50099+0.57789</f>
        <v>15.07888</v>
      </c>
      <c r="H78" s="6"/>
      <c r="I78" s="39">
        <f t="shared" si="16"/>
        <v>0.57789000000000001</v>
      </c>
      <c r="J78" s="7">
        <v>0.57789000000000001</v>
      </c>
      <c r="K78" s="6"/>
      <c r="L78" s="93">
        <f t="shared" si="17"/>
        <v>100</v>
      </c>
      <c r="M78" s="81">
        <v>100</v>
      </c>
      <c r="N78" s="166"/>
      <c r="O78" s="164"/>
      <c r="P78" s="167"/>
      <c r="Q78" s="45" t="s">
        <v>366</v>
      </c>
    </row>
    <row r="79" spans="1:19" ht="67.5" x14ac:dyDescent="0.2">
      <c r="A79" s="8"/>
      <c r="B79" s="74" t="s">
        <v>370</v>
      </c>
      <c r="C79" s="39">
        <f t="shared" si="14"/>
        <v>12.40579</v>
      </c>
      <c r="D79" s="113">
        <v>12.40579</v>
      </c>
      <c r="E79" s="6"/>
      <c r="F79" s="39">
        <f t="shared" si="15"/>
        <v>12.40579</v>
      </c>
      <c r="G79" s="113">
        <v>12.40579</v>
      </c>
      <c r="H79" s="113"/>
      <c r="I79" s="39">
        <f t="shared" si="16"/>
        <v>9.6175700000000006</v>
      </c>
      <c r="J79" s="7">
        <f>0.48088+9.13669</f>
        <v>9.6175700000000006</v>
      </c>
      <c r="K79" s="6"/>
      <c r="L79" s="93">
        <f t="shared" si="17"/>
        <v>77.524849284084297</v>
      </c>
      <c r="M79" s="93">
        <v>100</v>
      </c>
      <c r="N79" s="8" t="s">
        <v>337</v>
      </c>
      <c r="O79" s="15" t="s">
        <v>194</v>
      </c>
      <c r="P79" s="54" t="s">
        <v>97</v>
      </c>
      <c r="Q79" s="45"/>
    </row>
    <row r="80" spans="1:19" ht="87.75" customHeight="1" x14ac:dyDescent="0.2">
      <c r="A80" s="8"/>
      <c r="B80" s="54" t="s">
        <v>392</v>
      </c>
      <c r="C80" s="39">
        <f t="shared" si="14"/>
        <v>0.2</v>
      </c>
      <c r="D80" s="113">
        <v>0.2</v>
      </c>
      <c r="E80" s="6"/>
      <c r="F80" s="39">
        <f t="shared" si="15"/>
        <v>0.2</v>
      </c>
      <c r="G80" s="113">
        <v>0.2</v>
      </c>
      <c r="H80" s="113"/>
      <c r="I80" s="39">
        <f t="shared" si="16"/>
        <v>0.2</v>
      </c>
      <c r="J80" s="7">
        <v>0.2</v>
      </c>
      <c r="K80" s="6"/>
      <c r="L80" s="93">
        <f t="shared" si="17"/>
        <v>100</v>
      </c>
      <c r="M80" s="80"/>
      <c r="N80" s="165" t="s">
        <v>409</v>
      </c>
      <c r="O80" s="163" t="s">
        <v>195</v>
      </c>
      <c r="P80" s="154" t="s">
        <v>196</v>
      </c>
      <c r="Q80" s="45"/>
    </row>
    <row r="81" spans="1:19" ht="67.5" x14ac:dyDescent="0.2">
      <c r="A81" s="8"/>
      <c r="B81" s="74" t="s">
        <v>393</v>
      </c>
      <c r="C81" s="39">
        <f t="shared" si="14"/>
        <v>0.6</v>
      </c>
      <c r="D81" s="7">
        <v>0.6</v>
      </c>
      <c r="E81" s="6"/>
      <c r="F81" s="39">
        <f t="shared" si="15"/>
        <v>0.6</v>
      </c>
      <c r="G81" s="113">
        <v>0.6</v>
      </c>
      <c r="H81" s="113"/>
      <c r="I81" s="39">
        <f t="shared" si="16"/>
        <v>0.42605999999999999</v>
      </c>
      <c r="J81" s="7">
        <f>0.32949+0.09657</f>
        <v>0.42605999999999999</v>
      </c>
      <c r="K81" s="6"/>
      <c r="L81" s="93">
        <f t="shared" si="17"/>
        <v>71.009999999999991</v>
      </c>
      <c r="M81" s="81"/>
      <c r="N81" s="166"/>
      <c r="O81" s="164"/>
      <c r="P81" s="154"/>
      <c r="Q81" s="45"/>
    </row>
    <row r="82" spans="1:19" ht="101.25" x14ac:dyDescent="0.2">
      <c r="A82" s="8"/>
      <c r="B82" s="74" t="s">
        <v>371</v>
      </c>
      <c r="C82" s="39">
        <f t="shared" si="14"/>
        <v>1.3720000000000001</v>
      </c>
      <c r="D82" s="113">
        <v>1.3720000000000001</v>
      </c>
      <c r="E82" s="6"/>
      <c r="F82" s="39">
        <f t="shared" si="15"/>
        <v>1.3720000000000001</v>
      </c>
      <c r="G82" s="113">
        <v>1.3720000000000001</v>
      </c>
      <c r="H82" s="113"/>
      <c r="I82" s="39">
        <f t="shared" si="16"/>
        <v>1.07792</v>
      </c>
      <c r="J82" s="7">
        <v>1.07792</v>
      </c>
      <c r="K82" s="6"/>
      <c r="L82" s="93">
        <f t="shared" si="17"/>
        <v>78.565597667638471</v>
      </c>
      <c r="M82" s="93"/>
      <c r="N82" s="8" t="s">
        <v>410</v>
      </c>
      <c r="O82" s="15" t="s">
        <v>198</v>
      </c>
      <c r="P82" s="37" t="s">
        <v>197</v>
      </c>
      <c r="Q82" s="42"/>
      <c r="R82" s="87"/>
      <c r="S82" s="87"/>
    </row>
    <row r="83" spans="1:19" ht="56.25" x14ac:dyDescent="0.2">
      <c r="A83" s="8"/>
      <c r="B83" s="75" t="s">
        <v>268</v>
      </c>
      <c r="C83" s="39">
        <f t="shared" si="11"/>
        <v>24.577380000000002</v>
      </c>
      <c r="D83" s="6"/>
      <c r="E83" s="6">
        <v>24.577380000000002</v>
      </c>
      <c r="F83" s="39">
        <f t="shared" si="12"/>
        <v>24.577380000000002</v>
      </c>
      <c r="G83" s="7"/>
      <c r="H83" s="6">
        <v>24.577380000000002</v>
      </c>
      <c r="I83" s="39">
        <f t="shared" si="13"/>
        <v>14.2682</v>
      </c>
      <c r="J83" s="7"/>
      <c r="K83" s="6">
        <v>14.2682</v>
      </c>
      <c r="L83" s="93">
        <f t="shared" si="10"/>
        <v>58.054194547994939</v>
      </c>
      <c r="M83" s="80">
        <v>100</v>
      </c>
      <c r="N83" s="165" t="s">
        <v>150</v>
      </c>
      <c r="O83" s="175" t="s">
        <v>98</v>
      </c>
      <c r="P83" s="161" t="s">
        <v>99</v>
      </c>
      <c r="Q83" s="42"/>
      <c r="R83" s="87"/>
      <c r="S83" s="87"/>
    </row>
    <row r="84" spans="1:19" ht="56.25" x14ac:dyDescent="0.2">
      <c r="A84" s="8"/>
      <c r="B84" s="75" t="s">
        <v>269</v>
      </c>
      <c r="C84" s="39">
        <f t="shared" si="11"/>
        <v>19.3933</v>
      </c>
      <c r="D84" s="7"/>
      <c r="E84" s="7">
        <v>19.3933</v>
      </c>
      <c r="F84" s="39">
        <f t="shared" si="12"/>
        <v>19.3933</v>
      </c>
      <c r="G84" s="7"/>
      <c r="H84" s="7">
        <v>19.3933</v>
      </c>
      <c r="I84" s="39">
        <f t="shared" si="13"/>
        <v>15.87129</v>
      </c>
      <c r="J84" s="7"/>
      <c r="K84" s="7">
        <v>15.87129</v>
      </c>
      <c r="L84" s="93">
        <f t="shared" si="10"/>
        <v>81.839037193257468</v>
      </c>
      <c r="M84" s="81">
        <v>100</v>
      </c>
      <c r="N84" s="166"/>
      <c r="O84" s="176"/>
      <c r="P84" s="161"/>
      <c r="Q84" s="43"/>
      <c r="R84" s="87"/>
      <c r="S84" s="98"/>
    </row>
    <row r="85" spans="1:19" ht="56.25" x14ac:dyDescent="0.2">
      <c r="A85" s="8"/>
      <c r="B85" s="75" t="s">
        <v>270</v>
      </c>
      <c r="C85" s="39">
        <f t="shared" si="11"/>
        <v>32.076169999999998</v>
      </c>
      <c r="D85" s="6"/>
      <c r="E85" s="6">
        <v>32.076169999999998</v>
      </c>
      <c r="F85" s="39">
        <f t="shared" si="12"/>
        <v>32.076169999999998</v>
      </c>
      <c r="G85" s="7"/>
      <c r="H85" s="6">
        <v>32.076169999999998</v>
      </c>
      <c r="I85" s="39">
        <f t="shared" si="13"/>
        <v>29.785699999999999</v>
      </c>
      <c r="J85" s="7"/>
      <c r="K85" s="6">
        <v>29.785699999999999</v>
      </c>
      <c r="L85" s="93">
        <f t="shared" si="10"/>
        <v>92.859278398886147</v>
      </c>
      <c r="M85" s="93">
        <v>100</v>
      </c>
      <c r="N85" s="8" t="s">
        <v>150</v>
      </c>
      <c r="O85" s="177"/>
      <c r="P85" s="161"/>
      <c r="Q85" s="42"/>
      <c r="R85" s="87"/>
      <c r="S85" s="87"/>
    </row>
    <row r="86" spans="1:19" ht="67.5" x14ac:dyDescent="0.2">
      <c r="A86" s="8"/>
      <c r="B86" s="75" t="s">
        <v>271</v>
      </c>
      <c r="C86" s="39">
        <f t="shared" si="11"/>
        <v>5.1045600000000002</v>
      </c>
      <c r="D86" s="39"/>
      <c r="E86" s="6">
        <v>5.1045600000000002</v>
      </c>
      <c r="F86" s="39">
        <f t="shared" si="12"/>
        <v>5.1045600000000002</v>
      </c>
      <c r="G86" s="7"/>
      <c r="H86" s="6">
        <v>5.1045600000000002</v>
      </c>
      <c r="I86" s="39">
        <f t="shared" si="13"/>
        <v>0.24512</v>
      </c>
      <c r="J86" s="7"/>
      <c r="K86" s="6">
        <v>0.24512</v>
      </c>
      <c r="L86" s="93">
        <f t="shared" si="10"/>
        <v>4.8019809738743398</v>
      </c>
      <c r="M86" s="80">
        <v>100</v>
      </c>
      <c r="N86" s="165" t="s">
        <v>273</v>
      </c>
      <c r="O86" s="175" t="s">
        <v>100</v>
      </c>
      <c r="P86" s="179" t="s">
        <v>97</v>
      </c>
      <c r="Q86" s="42"/>
      <c r="R86" s="87"/>
      <c r="S86" s="87"/>
    </row>
    <row r="87" spans="1:19" ht="67.5" x14ac:dyDescent="0.2">
      <c r="A87" s="8"/>
      <c r="B87" s="75" t="s">
        <v>272</v>
      </c>
      <c r="C87" s="39">
        <f t="shared" si="11"/>
        <v>6.2688899999999999</v>
      </c>
      <c r="D87" s="39"/>
      <c r="E87" s="6">
        <v>6.2688899999999999</v>
      </c>
      <c r="F87" s="39">
        <f t="shared" si="12"/>
        <v>6.2688899999999999</v>
      </c>
      <c r="G87" s="7"/>
      <c r="H87" s="6">
        <v>6.2688899999999999</v>
      </c>
      <c r="I87" s="39"/>
      <c r="J87" s="7"/>
      <c r="K87" s="6"/>
      <c r="L87" s="93">
        <f t="shared" ref="L87" si="18">I87/C87%</f>
        <v>0</v>
      </c>
      <c r="M87" s="81">
        <v>100</v>
      </c>
      <c r="N87" s="166"/>
      <c r="O87" s="177"/>
      <c r="P87" s="179"/>
      <c r="Q87" s="42"/>
      <c r="R87" s="87"/>
      <c r="S87" s="87"/>
    </row>
    <row r="88" spans="1:19" ht="67.5" x14ac:dyDescent="0.2">
      <c r="A88" s="8"/>
      <c r="B88" s="75" t="s">
        <v>274</v>
      </c>
      <c r="C88" s="39">
        <f t="shared" si="11"/>
        <v>21.6145</v>
      </c>
      <c r="D88" s="39"/>
      <c r="E88" s="113">
        <v>21.6145</v>
      </c>
      <c r="F88" s="39">
        <f t="shared" si="12"/>
        <v>21.6145</v>
      </c>
      <c r="G88" s="113"/>
      <c r="H88" s="113">
        <v>21.6145</v>
      </c>
      <c r="I88" s="39">
        <f t="shared" si="13"/>
        <v>16.162489999999998</v>
      </c>
      <c r="J88" s="7"/>
      <c r="K88" s="6">
        <v>16.162489999999998</v>
      </c>
      <c r="L88" s="93">
        <f t="shared" si="10"/>
        <v>74.776145642971144</v>
      </c>
      <c r="M88" s="93">
        <v>100</v>
      </c>
      <c r="N88" s="8" t="s">
        <v>151</v>
      </c>
      <c r="O88" s="13" t="s">
        <v>101</v>
      </c>
      <c r="P88" s="82" t="s">
        <v>102</v>
      </c>
      <c r="Q88" s="42"/>
      <c r="R88" s="87"/>
      <c r="S88" s="87"/>
    </row>
    <row r="89" spans="1:19" ht="45.75" customHeight="1" x14ac:dyDescent="0.2">
      <c r="A89" s="8"/>
      <c r="B89" s="75" t="s">
        <v>103</v>
      </c>
      <c r="C89" s="39">
        <f t="shared" si="11"/>
        <v>34.986089999999997</v>
      </c>
      <c r="D89" s="7">
        <v>34.986089999999997</v>
      </c>
      <c r="E89" s="6"/>
      <c r="F89" s="39">
        <f t="shared" si="12"/>
        <v>67.375949999999989</v>
      </c>
      <c r="G89" s="7">
        <f>34.98609+32.38986</f>
        <v>67.375949999999989</v>
      </c>
      <c r="H89" s="6"/>
      <c r="I89" s="39">
        <f t="shared" si="13"/>
        <v>34.986089999999997</v>
      </c>
      <c r="J89" s="7">
        <v>34.986089999999997</v>
      </c>
      <c r="K89" s="6"/>
      <c r="L89" s="93">
        <f t="shared" si="10"/>
        <v>100</v>
      </c>
      <c r="M89" s="80">
        <v>100</v>
      </c>
      <c r="N89" s="165" t="s">
        <v>152</v>
      </c>
      <c r="O89" s="175" t="s">
        <v>105</v>
      </c>
      <c r="P89" s="178" t="s">
        <v>106</v>
      </c>
      <c r="Q89" s="42" t="s">
        <v>363</v>
      </c>
      <c r="R89" s="87"/>
      <c r="S89" s="87"/>
    </row>
    <row r="90" spans="1:19" ht="45.75" customHeight="1" x14ac:dyDescent="0.2">
      <c r="A90" s="8"/>
      <c r="B90" s="75" t="s">
        <v>104</v>
      </c>
      <c r="C90" s="39">
        <f t="shared" si="11"/>
        <v>21.425070000000002</v>
      </c>
      <c r="D90" s="7">
        <v>21.425070000000002</v>
      </c>
      <c r="E90" s="6"/>
      <c r="F90" s="39">
        <f t="shared" si="12"/>
        <v>21.425070000000002</v>
      </c>
      <c r="G90" s="7">
        <v>21.425070000000002</v>
      </c>
      <c r="H90" s="6"/>
      <c r="I90" s="39">
        <f t="shared" si="13"/>
        <v>21.389299999999999</v>
      </c>
      <c r="J90" s="7">
        <f>16.37539+5.01391</f>
        <v>21.389299999999999</v>
      </c>
      <c r="K90" s="6"/>
      <c r="L90" s="93">
        <f t="shared" si="10"/>
        <v>99.833046053058396</v>
      </c>
      <c r="M90" s="120">
        <v>100</v>
      </c>
      <c r="N90" s="168"/>
      <c r="O90" s="176"/>
      <c r="P90" s="178"/>
      <c r="Q90" s="42"/>
      <c r="R90" s="87"/>
      <c r="S90" s="87"/>
    </row>
    <row r="91" spans="1:19" ht="45.75" customHeight="1" x14ac:dyDescent="0.2">
      <c r="A91" s="8"/>
      <c r="B91" s="75" t="s">
        <v>192</v>
      </c>
      <c r="C91" s="39">
        <f t="shared" ref="C91:C92" si="19">D91+E91</f>
        <v>2.7513299999999998</v>
      </c>
      <c r="D91" s="7">
        <v>2.7513299999999998</v>
      </c>
      <c r="E91" s="6"/>
      <c r="F91" s="39">
        <f t="shared" ref="F91:F92" si="20">G91+H91</f>
        <v>14.322569999999999</v>
      </c>
      <c r="G91" s="7">
        <f>2.75133+11.57124</f>
        <v>14.322569999999999</v>
      </c>
      <c r="H91" s="6"/>
      <c r="I91" s="39">
        <f t="shared" ref="I91:I92" si="21">J91+K91</f>
        <v>2.7499699999999998</v>
      </c>
      <c r="J91" s="7">
        <v>2.7499699999999998</v>
      </c>
      <c r="K91" s="6"/>
      <c r="L91" s="93">
        <f t="shared" ref="L91:L92" si="22">I91/C91%</f>
        <v>99.95056936099995</v>
      </c>
      <c r="M91" s="120">
        <v>100</v>
      </c>
      <c r="N91" s="168"/>
      <c r="O91" s="176"/>
      <c r="P91" s="178"/>
      <c r="Q91" s="42" t="s">
        <v>362</v>
      </c>
    </row>
    <row r="92" spans="1:19" ht="45.75" customHeight="1" x14ac:dyDescent="0.2">
      <c r="A92" s="8"/>
      <c r="B92" s="75" t="s">
        <v>193</v>
      </c>
      <c r="C92" s="39">
        <f t="shared" si="19"/>
        <v>11.445360000000001</v>
      </c>
      <c r="D92" s="7">
        <v>11.445360000000001</v>
      </c>
      <c r="E92" s="6"/>
      <c r="F92" s="39">
        <f t="shared" si="20"/>
        <v>24.868929999999999</v>
      </c>
      <c r="G92" s="7">
        <f>11.44536+13.42357</f>
        <v>24.868929999999999</v>
      </c>
      <c r="H92" s="113"/>
      <c r="I92" s="39">
        <f t="shared" si="21"/>
        <v>11.443949999999999</v>
      </c>
      <c r="J92" s="7">
        <v>11.443949999999999</v>
      </c>
      <c r="K92" s="6"/>
      <c r="L92" s="93">
        <f t="shared" si="22"/>
        <v>99.987680597202697</v>
      </c>
      <c r="M92" s="81">
        <v>100</v>
      </c>
      <c r="N92" s="166"/>
      <c r="O92" s="177"/>
      <c r="P92" s="178"/>
      <c r="Q92" s="42" t="s">
        <v>364</v>
      </c>
    </row>
    <row r="93" spans="1:19" ht="78.75" x14ac:dyDescent="0.2">
      <c r="A93" s="8"/>
      <c r="B93" s="75" t="s">
        <v>377</v>
      </c>
      <c r="C93" s="39">
        <f t="shared" si="11"/>
        <v>10.786619999999999</v>
      </c>
      <c r="D93" s="7"/>
      <c r="E93" s="6">
        <v>10.786619999999999</v>
      </c>
      <c r="F93" s="39">
        <f t="shared" si="12"/>
        <v>10.786619999999999</v>
      </c>
      <c r="G93" s="6"/>
      <c r="H93" s="6">
        <v>10.786619999999999</v>
      </c>
      <c r="I93" s="39">
        <f t="shared" si="13"/>
        <v>10.786519999999999</v>
      </c>
      <c r="J93" s="7"/>
      <c r="K93" s="6">
        <v>10.786519999999999</v>
      </c>
      <c r="L93" s="93">
        <f t="shared" si="10"/>
        <v>99.99907292553182</v>
      </c>
      <c r="M93" s="80">
        <v>100</v>
      </c>
      <c r="N93" s="165" t="s">
        <v>145</v>
      </c>
      <c r="O93" s="163" t="s">
        <v>107</v>
      </c>
      <c r="P93" s="162" t="s">
        <v>108</v>
      </c>
      <c r="Q93" s="42"/>
      <c r="R93" s="87"/>
      <c r="S93" s="87"/>
    </row>
    <row r="94" spans="1:19" ht="67.5" x14ac:dyDescent="0.2">
      <c r="A94" s="8"/>
      <c r="B94" s="75" t="s">
        <v>378</v>
      </c>
      <c r="C94" s="39">
        <f t="shared" si="11"/>
        <v>22.989180000000001</v>
      </c>
      <c r="D94" s="7"/>
      <c r="E94" s="6">
        <v>22.989180000000001</v>
      </c>
      <c r="F94" s="39">
        <f t="shared" si="12"/>
        <v>22.989180000000001</v>
      </c>
      <c r="G94" s="6"/>
      <c r="H94" s="6">
        <v>22.989180000000001</v>
      </c>
      <c r="I94" s="39">
        <f t="shared" si="13"/>
        <v>22.989180000000001</v>
      </c>
      <c r="J94" s="7"/>
      <c r="K94" s="6">
        <v>22.989180000000001</v>
      </c>
      <c r="L94" s="93">
        <f t="shared" si="10"/>
        <v>100</v>
      </c>
      <c r="M94" s="120">
        <v>100</v>
      </c>
      <c r="N94" s="168"/>
      <c r="O94" s="169"/>
      <c r="P94" s="162"/>
      <c r="Q94" s="42"/>
      <c r="R94" s="87"/>
      <c r="S94" s="87"/>
    </row>
    <row r="95" spans="1:19" ht="67.5" x14ac:dyDescent="0.2">
      <c r="A95" s="8"/>
      <c r="B95" s="75" t="s">
        <v>379</v>
      </c>
      <c r="C95" s="39">
        <f t="shared" si="11"/>
        <v>30.454999999999998</v>
      </c>
      <c r="D95" s="113"/>
      <c r="E95" s="6">
        <v>30.454999999999998</v>
      </c>
      <c r="F95" s="39">
        <f t="shared" si="12"/>
        <v>30.454999999999998</v>
      </c>
      <c r="G95" s="6"/>
      <c r="H95" s="6">
        <v>30.454999999999998</v>
      </c>
      <c r="I95" s="39">
        <f t="shared" si="13"/>
        <v>30.454999999999998</v>
      </c>
      <c r="J95" s="7"/>
      <c r="K95" s="6">
        <v>30.454999999999998</v>
      </c>
      <c r="L95" s="93">
        <f t="shared" si="10"/>
        <v>100</v>
      </c>
      <c r="M95" s="120">
        <v>100</v>
      </c>
      <c r="N95" s="168"/>
      <c r="O95" s="169"/>
      <c r="P95" s="162"/>
      <c r="Q95" s="42"/>
      <c r="R95" s="87"/>
      <c r="S95" s="87"/>
    </row>
    <row r="96" spans="1:19" ht="78.75" x14ac:dyDescent="0.2">
      <c r="A96" s="8"/>
      <c r="B96" s="75" t="s">
        <v>380</v>
      </c>
      <c r="C96" s="39">
        <f t="shared" si="11"/>
        <v>48.495550000000001</v>
      </c>
      <c r="D96" s="113"/>
      <c r="E96" s="6">
        <v>48.495550000000001</v>
      </c>
      <c r="F96" s="39">
        <f t="shared" si="12"/>
        <v>48.495550000000001</v>
      </c>
      <c r="G96" s="6"/>
      <c r="H96" s="6">
        <v>48.495550000000001</v>
      </c>
      <c r="I96" s="39">
        <f t="shared" si="13"/>
        <v>40.682540000000003</v>
      </c>
      <c r="J96" s="7"/>
      <c r="K96" s="6">
        <v>40.682540000000003</v>
      </c>
      <c r="L96" s="93">
        <f t="shared" si="10"/>
        <v>83.889222825599461</v>
      </c>
      <c r="M96" s="120">
        <v>100</v>
      </c>
      <c r="N96" s="168"/>
      <c r="O96" s="169"/>
      <c r="P96" s="162"/>
      <c r="Q96" s="42"/>
      <c r="R96" s="87"/>
      <c r="S96" s="87"/>
    </row>
    <row r="97" spans="1:19" ht="78.75" x14ac:dyDescent="0.2">
      <c r="A97" s="8"/>
      <c r="B97" s="75" t="s">
        <v>381</v>
      </c>
      <c r="C97" s="39">
        <f t="shared" si="11"/>
        <v>2.10046</v>
      </c>
      <c r="D97" s="113"/>
      <c r="E97" s="104">
        <v>2.10046</v>
      </c>
      <c r="F97" s="39">
        <f t="shared" si="12"/>
        <v>2.10046</v>
      </c>
      <c r="G97" s="104"/>
      <c r="H97" s="104">
        <v>2.10046</v>
      </c>
      <c r="I97" s="39">
        <f t="shared" ref="I97" si="23">J97+K97</f>
        <v>0</v>
      </c>
      <c r="J97" s="7"/>
      <c r="K97" s="6"/>
      <c r="L97" s="93">
        <f t="shared" ref="L97" si="24">I97/C97%</f>
        <v>0</v>
      </c>
      <c r="M97" s="81">
        <v>100</v>
      </c>
      <c r="N97" s="166"/>
      <c r="O97" s="164"/>
      <c r="P97" s="162"/>
      <c r="Q97" s="42"/>
      <c r="R97" s="87"/>
      <c r="S97" s="87"/>
    </row>
    <row r="98" spans="1:19" ht="45" x14ac:dyDescent="0.2">
      <c r="A98" s="8"/>
      <c r="B98" s="75" t="s">
        <v>390</v>
      </c>
      <c r="C98" s="39">
        <f t="shared" si="11"/>
        <v>24.734999999999999</v>
      </c>
      <c r="D98" s="113"/>
      <c r="E98" s="39">
        <f t="shared" si="12"/>
        <v>24.734999999999999</v>
      </c>
      <c r="F98" s="39">
        <f t="shared" si="12"/>
        <v>24.734999999999999</v>
      </c>
      <c r="G98" s="113"/>
      <c r="H98" s="6">
        <v>24.734999999999999</v>
      </c>
      <c r="I98" s="39">
        <f t="shared" si="13"/>
        <v>23.579979999999999</v>
      </c>
      <c r="J98" s="7"/>
      <c r="K98" s="6">
        <v>23.579979999999999</v>
      </c>
      <c r="L98" s="93">
        <f t="shared" si="10"/>
        <v>95.330422478269654</v>
      </c>
      <c r="M98" s="93">
        <v>100</v>
      </c>
      <c r="N98" s="8" t="s">
        <v>275</v>
      </c>
      <c r="O98" s="15" t="s">
        <v>109</v>
      </c>
      <c r="P98" s="55" t="s">
        <v>108</v>
      </c>
      <c r="Q98" s="43"/>
      <c r="R98" s="87"/>
      <c r="S98" s="87"/>
    </row>
    <row r="99" spans="1:19" ht="56.25" x14ac:dyDescent="0.2">
      <c r="A99" s="8"/>
      <c r="B99" s="75" t="s">
        <v>382</v>
      </c>
      <c r="C99" s="39">
        <f t="shared" si="11"/>
        <v>15.762700000000001</v>
      </c>
      <c r="D99" s="113"/>
      <c r="E99" s="6">
        <v>15.762700000000001</v>
      </c>
      <c r="F99" s="39">
        <f t="shared" si="12"/>
        <v>15.762700000000001</v>
      </c>
      <c r="G99" s="6"/>
      <c r="H99" s="6">
        <v>15.762700000000001</v>
      </c>
      <c r="I99" s="39">
        <f t="shared" si="13"/>
        <v>11.215439999999999</v>
      </c>
      <c r="J99" s="7"/>
      <c r="K99" s="6">
        <v>11.215439999999999</v>
      </c>
      <c r="L99" s="93">
        <f t="shared" si="10"/>
        <v>71.1517696841277</v>
      </c>
      <c r="M99" s="80">
        <v>100</v>
      </c>
      <c r="N99" s="165" t="s">
        <v>153</v>
      </c>
      <c r="O99" s="163" t="s">
        <v>110</v>
      </c>
      <c r="P99" s="167" t="s">
        <v>111</v>
      </c>
      <c r="Q99" s="45"/>
    </row>
    <row r="100" spans="1:19" ht="67.5" x14ac:dyDescent="0.2">
      <c r="A100" s="8"/>
      <c r="B100" s="75" t="s">
        <v>383</v>
      </c>
      <c r="C100" s="39">
        <f t="shared" si="11"/>
        <v>10.5158</v>
      </c>
      <c r="D100" s="113"/>
      <c r="E100" s="6">
        <v>10.5158</v>
      </c>
      <c r="F100" s="39">
        <f t="shared" si="12"/>
        <v>13.495799999999999</v>
      </c>
      <c r="G100" s="6"/>
      <c r="H100" s="6">
        <v>13.495799999999999</v>
      </c>
      <c r="I100" s="39">
        <f t="shared" si="13"/>
        <v>9.9643999999999995</v>
      </c>
      <c r="J100" s="7"/>
      <c r="K100" s="6">
        <v>9.9643999999999995</v>
      </c>
      <c r="L100" s="93">
        <f t="shared" si="10"/>
        <v>94.756461705243538</v>
      </c>
      <c r="M100" s="81">
        <v>100</v>
      </c>
      <c r="N100" s="166"/>
      <c r="O100" s="164"/>
      <c r="P100" s="167"/>
      <c r="Q100" s="45"/>
    </row>
    <row r="101" spans="1:19" ht="56.25" x14ac:dyDescent="0.2">
      <c r="A101" s="8"/>
      <c r="B101" s="75" t="s">
        <v>384</v>
      </c>
      <c r="C101" s="39">
        <f t="shared" si="11"/>
        <v>38.146599999999999</v>
      </c>
      <c r="D101" s="7"/>
      <c r="E101" s="6">
        <v>38.146599999999999</v>
      </c>
      <c r="F101" s="39">
        <f t="shared" si="12"/>
        <v>41.598500000000001</v>
      </c>
      <c r="G101" s="113"/>
      <c r="H101" s="6">
        <v>41.598500000000001</v>
      </c>
      <c r="I101" s="39">
        <f t="shared" si="13"/>
        <v>37.522620000000003</v>
      </c>
      <c r="J101" s="7"/>
      <c r="K101" s="6">
        <v>37.522620000000003</v>
      </c>
      <c r="L101" s="93">
        <f t="shared" si="10"/>
        <v>98.36425788930076</v>
      </c>
      <c r="M101" s="80">
        <v>100</v>
      </c>
      <c r="N101" s="165" t="s">
        <v>155</v>
      </c>
      <c r="O101" s="163" t="s">
        <v>115</v>
      </c>
      <c r="P101" s="167" t="s">
        <v>116</v>
      </c>
      <c r="Q101" s="45"/>
    </row>
    <row r="102" spans="1:19" ht="51" customHeight="1" x14ac:dyDescent="0.2">
      <c r="A102" s="8"/>
      <c r="B102" s="75" t="s">
        <v>385</v>
      </c>
      <c r="C102" s="39">
        <f t="shared" si="11"/>
        <v>0</v>
      </c>
      <c r="D102" s="7"/>
      <c r="E102" s="6"/>
      <c r="F102" s="39">
        <f t="shared" si="12"/>
        <v>0</v>
      </c>
      <c r="G102" s="113"/>
      <c r="H102" s="6"/>
      <c r="I102" s="39">
        <f t="shared" si="13"/>
        <v>0.62397999999999998</v>
      </c>
      <c r="J102" s="7"/>
      <c r="K102" s="6">
        <v>0.62397999999999998</v>
      </c>
      <c r="L102" s="93"/>
      <c r="M102" s="81">
        <v>100</v>
      </c>
      <c r="N102" s="166"/>
      <c r="O102" s="164"/>
      <c r="P102" s="167"/>
      <c r="Q102" s="45"/>
    </row>
    <row r="103" spans="1:19" ht="67.5" x14ac:dyDescent="0.2">
      <c r="A103" s="8"/>
      <c r="B103" s="75" t="s">
        <v>386</v>
      </c>
      <c r="C103" s="39">
        <f t="shared" si="11"/>
        <v>19.290500000000002</v>
      </c>
      <c r="D103" s="7"/>
      <c r="E103" s="6">
        <v>19.290500000000002</v>
      </c>
      <c r="F103" s="39">
        <f t="shared" si="12"/>
        <v>22.564499999999999</v>
      </c>
      <c r="G103" s="113"/>
      <c r="H103" s="6">
        <v>22.564499999999999</v>
      </c>
      <c r="I103" s="39">
        <f t="shared" si="13"/>
        <v>19.290500000000002</v>
      </c>
      <c r="J103" s="7"/>
      <c r="K103" s="6">
        <v>19.290500000000002</v>
      </c>
      <c r="L103" s="93">
        <f t="shared" si="10"/>
        <v>100</v>
      </c>
      <c r="M103" s="80">
        <v>100</v>
      </c>
      <c r="N103" s="165" t="s">
        <v>153</v>
      </c>
      <c r="O103" s="163" t="s">
        <v>117</v>
      </c>
      <c r="P103" s="155" t="s">
        <v>99</v>
      </c>
      <c r="Q103" s="45"/>
    </row>
    <row r="104" spans="1:19" ht="67.5" x14ac:dyDescent="0.2">
      <c r="A104" s="8"/>
      <c r="B104" s="75" t="s">
        <v>387</v>
      </c>
      <c r="C104" s="39">
        <f t="shared" si="11"/>
        <v>13.13519</v>
      </c>
      <c r="D104" s="7"/>
      <c r="E104" s="6">
        <v>13.13519</v>
      </c>
      <c r="F104" s="39">
        <f t="shared" si="12"/>
        <v>15.6243</v>
      </c>
      <c r="G104" s="113"/>
      <c r="H104" s="6">
        <v>15.6243</v>
      </c>
      <c r="I104" s="39">
        <f t="shared" si="13"/>
        <v>13.13519</v>
      </c>
      <c r="J104" s="7"/>
      <c r="K104" s="6">
        <v>13.13519</v>
      </c>
      <c r="L104" s="93">
        <f t="shared" si="10"/>
        <v>100</v>
      </c>
      <c r="M104" s="81">
        <v>100</v>
      </c>
      <c r="N104" s="166"/>
      <c r="O104" s="164"/>
      <c r="P104" s="156"/>
      <c r="Q104" s="45"/>
    </row>
    <row r="105" spans="1:19" ht="67.5" x14ac:dyDescent="0.2">
      <c r="A105" s="8"/>
      <c r="B105" s="75" t="s">
        <v>388</v>
      </c>
      <c r="C105" s="39">
        <f t="shared" si="11"/>
        <v>2.2892700000000001</v>
      </c>
      <c r="D105" s="113"/>
      <c r="E105" s="6">
        <v>2.2892700000000001</v>
      </c>
      <c r="F105" s="39">
        <f t="shared" si="12"/>
        <v>28.223700000000001</v>
      </c>
      <c r="G105" s="113"/>
      <c r="H105" s="6">
        <v>28.223700000000001</v>
      </c>
      <c r="I105" s="39">
        <f t="shared" si="13"/>
        <v>2.2892700000000001</v>
      </c>
      <c r="J105" s="7"/>
      <c r="K105" s="6">
        <v>2.2892700000000001</v>
      </c>
      <c r="L105" s="93">
        <f t="shared" si="10"/>
        <v>100</v>
      </c>
      <c r="M105" s="93">
        <v>100</v>
      </c>
      <c r="N105" s="8" t="s">
        <v>153</v>
      </c>
      <c r="O105" s="15" t="s">
        <v>118</v>
      </c>
      <c r="P105" s="1" t="s">
        <v>119</v>
      </c>
      <c r="Q105" s="45" t="s">
        <v>350</v>
      </c>
    </row>
    <row r="106" spans="1:19" ht="67.5" x14ac:dyDescent="0.2">
      <c r="A106" s="8"/>
      <c r="B106" s="75" t="s">
        <v>389</v>
      </c>
      <c r="C106" s="39">
        <f t="shared" si="11"/>
        <v>46.08408</v>
      </c>
      <c r="D106" s="113"/>
      <c r="E106" s="6">
        <v>46.08408</v>
      </c>
      <c r="F106" s="39">
        <f t="shared" si="12"/>
        <v>49.243299999999998</v>
      </c>
      <c r="G106" s="113"/>
      <c r="H106" s="6">
        <v>49.243299999999998</v>
      </c>
      <c r="I106" s="39">
        <f t="shared" si="13"/>
        <v>46.083179999999999</v>
      </c>
      <c r="J106" s="7"/>
      <c r="K106" s="6">
        <v>46.083179999999999</v>
      </c>
      <c r="L106" s="93">
        <f t="shared" si="10"/>
        <v>99.998047047917638</v>
      </c>
      <c r="M106" s="93">
        <v>100</v>
      </c>
      <c r="N106" s="8" t="s">
        <v>156</v>
      </c>
      <c r="O106" s="15" t="s">
        <v>120</v>
      </c>
      <c r="P106" s="54" t="s">
        <v>121</v>
      </c>
      <c r="Q106" s="45"/>
    </row>
    <row r="107" spans="1:19" ht="67.5" x14ac:dyDescent="0.2">
      <c r="A107" s="8"/>
      <c r="B107" s="75" t="s">
        <v>199</v>
      </c>
      <c r="C107" s="39">
        <f t="shared" si="11"/>
        <v>8.0821699999999996</v>
      </c>
      <c r="D107" s="113">
        <v>8.0821699999999996</v>
      </c>
      <c r="E107" s="6"/>
      <c r="F107" s="39">
        <f t="shared" si="12"/>
        <v>8.0821699999999996</v>
      </c>
      <c r="G107" s="113">
        <v>8.0821699999999996</v>
      </c>
      <c r="H107" s="113"/>
      <c r="I107" s="39">
        <f t="shared" si="13"/>
        <v>7.2899700000000003</v>
      </c>
      <c r="J107" s="7">
        <v>7.2899700000000003</v>
      </c>
      <c r="K107" s="6"/>
      <c r="L107" s="93">
        <f t="shared" si="10"/>
        <v>90.198176974748122</v>
      </c>
      <c r="M107" s="93">
        <v>100</v>
      </c>
      <c r="N107" s="8" t="s">
        <v>303</v>
      </c>
      <c r="O107" s="15" t="s">
        <v>188</v>
      </c>
      <c r="P107" s="37" t="s">
        <v>200</v>
      </c>
      <c r="Q107" s="42"/>
      <c r="R107" s="87"/>
      <c r="S107" s="87"/>
    </row>
    <row r="108" spans="1:19" ht="67.5" x14ac:dyDescent="0.2">
      <c r="A108" s="8"/>
      <c r="B108" s="75" t="s">
        <v>391</v>
      </c>
      <c r="C108" s="39">
        <f t="shared" si="11"/>
        <v>2.5420199999999999</v>
      </c>
      <c r="D108" s="7">
        <v>2.5420199999999999</v>
      </c>
      <c r="E108" s="6"/>
      <c r="F108" s="39">
        <f t="shared" si="12"/>
        <v>2.5420199999999999</v>
      </c>
      <c r="G108" s="7">
        <v>2.5420199999999999</v>
      </c>
      <c r="H108" s="6"/>
      <c r="I108" s="39">
        <f t="shared" si="13"/>
        <v>2.5420199999999999</v>
      </c>
      <c r="J108" s="7">
        <v>2.5420199999999999</v>
      </c>
      <c r="K108" s="6"/>
      <c r="L108" s="93">
        <f t="shared" si="10"/>
        <v>100</v>
      </c>
      <c r="M108" s="93">
        <v>100</v>
      </c>
      <c r="N108" s="8" t="s">
        <v>202</v>
      </c>
      <c r="O108" s="13" t="s">
        <v>201</v>
      </c>
      <c r="P108" s="37" t="s">
        <v>119</v>
      </c>
      <c r="Q108" s="42"/>
      <c r="R108" s="87"/>
      <c r="S108" s="87"/>
    </row>
    <row r="109" spans="1:19" ht="67.5" x14ac:dyDescent="0.2">
      <c r="A109" s="8"/>
      <c r="B109" s="75" t="s">
        <v>375</v>
      </c>
      <c r="C109" s="39">
        <f t="shared" si="11"/>
        <v>3.22221</v>
      </c>
      <c r="D109" s="39">
        <v>3.22221</v>
      </c>
      <c r="E109" s="6"/>
      <c r="F109" s="39">
        <f t="shared" si="12"/>
        <v>39.196370000000002</v>
      </c>
      <c r="G109" s="7">
        <v>39.196370000000002</v>
      </c>
      <c r="H109" s="6"/>
      <c r="I109" s="39">
        <f t="shared" si="13"/>
        <v>0</v>
      </c>
      <c r="J109" s="7"/>
      <c r="K109" s="6"/>
      <c r="L109" s="93">
        <f t="shared" si="10"/>
        <v>0</v>
      </c>
      <c r="M109" s="93">
        <v>100</v>
      </c>
      <c r="N109" s="8" t="s">
        <v>408</v>
      </c>
      <c r="O109" s="13" t="s">
        <v>203</v>
      </c>
      <c r="P109" s="42" t="s">
        <v>238</v>
      </c>
      <c r="Q109" s="42"/>
      <c r="R109" s="87"/>
      <c r="S109" s="87"/>
    </row>
    <row r="110" spans="1:19" ht="67.5" x14ac:dyDescent="0.2">
      <c r="A110" s="8"/>
      <c r="B110" s="75" t="s">
        <v>376</v>
      </c>
      <c r="C110" s="39">
        <f t="shared" si="11"/>
        <v>3</v>
      </c>
      <c r="D110" s="39">
        <v>3</v>
      </c>
      <c r="E110" s="6"/>
      <c r="F110" s="39">
        <f t="shared" si="12"/>
        <v>14.699450000000001</v>
      </c>
      <c r="G110" s="7">
        <v>14.699450000000001</v>
      </c>
      <c r="H110" s="6"/>
      <c r="I110" s="39">
        <f t="shared" si="13"/>
        <v>0</v>
      </c>
      <c r="J110" s="7"/>
      <c r="K110" s="6"/>
      <c r="L110" s="93">
        <f t="shared" ref="L110:L138" si="25">I110/C110%</f>
        <v>0</v>
      </c>
      <c r="M110" s="93">
        <v>100</v>
      </c>
      <c r="N110" s="8" t="s">
        <v>408</v>
      </c>
      <c r="O110" s="13" t="s">
        <v>266</v>
      </c>
      <c r="P110" s="42" t="s">
        <v>238</v>
      </c>
      <c r="Q110" s="42"/>
      <c r="R110" s="87"/>
      <c r="S110" s="87"/>
    </row>
    <row r="111" spans="1:19" x14ac:dyDescent="0.2">
      <c r="A111" s="8"/>
      <c r="B111" s="66"/>
      <c r="C111" s="39">
        <f t="shared" si="11"/>
        <v>64.443479999999994</v>
      </c>
      <c r="D111" s="39">
        <v>64.443479999999994</v>
      </c>
      <c r="E111" s="6"/>
      <c r="F111" s="39"/>
      <c r="G111" s="7"/>
      <c r="H111" s="6"/>
      <c r="I111" s="39"/>
      <c r="J111" s="7"/>
      <c r="K111" s="6"/>
      <c r="L111" s="93"/>
      <c r="M111" s="93"/>
      <c r="N111" s="8"/>
      <c r="O111" s="13"/>
      <c r="P111" s="28"/>
      <c r="Q111" s="42"/>
      <c r="R111" s="87"/>
      <c r="S111" s="87"/>
    </row>
    <row r="112" spans="1:19" x14ac:dyDescent="0.2">
      <c r="A112" s="97"/>
      <c r="B112" s="22" t="s">
        <v>15</v>
      </c>
      <c r="C112" s="39">
        <f t="shared" si="11"/>
        <v>578.70615999999995</v>
      </c>
      <c r="D112" s="6">
        <f>SUM(D75:D111)</f>
        <v>184.88540999999998</v>
      </c>
      <c r="E112" s="6">
        <f>SUM(E75:E111)</f>
        <v>393.82074999999998</v>
      </c>
      <c r="F112" s="39">
        <f t="shared" si="12"/>
        <v>697.38388999999995</v>
      </c>
      <c r="G112" s="6">
        <f>SUM(G75:G111)</f>
        <v>262.27447999999998</v>
      </c>
      <c r="H112" s="6">
        <f>SUM(H75:H111)</f>
        <v>435.10940999999997</v>
      </c>
      <c r="I112" s="39">
        <f t="shared" si="13"/>
        <v>454.52623</v>
      </c>
      <c r="J112" s="6">
        <f>SUM(J75:J111)</f>
        <v>109.57562999999998</v>
      </c>
      <c r="K112" s="6">
        <f>SUM(K75:K111)</f>
        <v>344.95060000000001</v>
      </c>
      <c r="L112" s="93">
        <f t="shared" si="25"/>
        <v>78.541799174904241</v>
      </c>
      <c r="M112" s="93"/>
      <c r="N112" s="97"/>
      <c r="O112" s="121"/>
      <c r="P112" s="14"/>
      <c r="Q112" s="42"/>
      <c r="R112" s="87"/>
      <c r="S112" s="87"/>
    </row>
    <row r="113" spans="1:19" x14ac:dyDescent="0.2">
      <c r="A113" s="97"/>
      <c r="B113" s="22"/>
      <c r="C113" s="39"/>
      <c r="D113" s="104"/>
      <c r="E113" s="6"/>
      <c r="F113" s="39"/>
      <c r="G113" s="6"/>
      <c r="H113" s="6"/>
      <c r="I113" s="39"/>
      <c r="J113" s="6"/>
      <c r="K113" s="6"/>
      <c r="L113" s="93"/>
      <c r="M113" s="93"/>
      <c r="N113" s="97"/>
      <c r="O113" s="121"/>
      <c r="P113" s="14"/>
      <c r="Q113" s="43"/>
      <c r="R113" s="98"/>
      <c r="S113" s="98"/>
    </row>
    <row r="114" spans="1:19" ht="45" x14ac:dyDescent="0.2">
      <c r="A114" s="97" t="s">
        <v>29</v>
      </c>
      <c r="B114" s="17" t="s">
        <v>30</v>
      </c>
      <c r="C114" s="39"/>
      <c r="D114" s="104"/>
      <c r="E114" s="6"/>
      <c r="F114" s="39"/>
      <c r="G114" s="6"/>
      <c r="H114" s="6"/>
      <c r="I114" s="39"/>
      <c r="J114" s="6"/>
      <c r="K114" s="6"/>
      <c r="L114" s="93"/>
      <c r="M114" s="93"/>
      <c r="N114" s="8"/>
      <c r="O114" s="94"/>
      <c r="P114" s="94"/>
      <c r="Q114" s="42"/>
      <c r="R114" s="87"/>
      <c r="S114" s="87"/>
    </row>
    <row r="115" spans="1:19" ht="67.5" x14ac:dyDescent="0.2">
      <c r="A115" s="97" t="s">
        <v>31</v>
      </c>
      <c r="B115" s="17" t="s">
        <v>32</v>
      </c>
      <c r="C115" s="39"/>
      <c r="D115" s="89"/>
      <c r="E115" s="89"/>
      <c r="F115" s="39"/>
      <c r="G115" s="7"/>
      <c r="H115" s="90"/>
      <c r="I115" s="39"/>
      <c r="J115" s="7"/>
      <c r="K115" s="7"/>
      <c r="L115" s="93"/>
      <c r="M115" s="93"/>
      <c r="N115" s="91"/>
      <c r="O115" s="91"/>
      <c r="P115" s="91"/>
      <c r="Q115" s="42"/>
      <c r="R115" s="87"/>
      <c r="S115" s="87"/>
    </row>
    <row r="116" spans="1:19" ht="56.25" x14ac:dyDescent="0.2">
      <c r="A116" s="8"/>
      <c r="B116" s="75" t="s">
        <v>204</v>
      </c>
      <c r="C116" s="39">
        <f t="shared" si="11"/>
        <v>0.68500000000000005</v>
      </c>
      <c r="D116" s="39">
        <v>0.68500000000000005</v>
      </c>
      <c r="E116" s="7"/>
      <c r="F116" s="39">
        <f t="shared" si="12"/>
        <v>0.68500000000000005</v>
      </c>
      <c r="G116" s="89">
        <v>0.68500000000000005</v>
      </c>
      <c r="H116" s="7"/>
      <c r="I116" s="39">
        <f t="shared" si="13"/>
        <v>0.68500000000000005</v>
      </c>
      <c r="J116" s="89">
        <v>0.68500000000000005</v>
      </c>
      <c r="K116" s="6"/>
      <c r="L116" s="93">
        <f t="shared" si="25"/>
        <v>100</v>
      </c>
      <c r="M116" s="93"/>
      <c r="N116" s="18" t="s">
        <v>206</v>
      </c>
      <c r="O116" s="9">
        <v>23</v>
      </c>
      <c r="P116" s="37" t="s">
        <v>205</v>
      </c>
      <c r="Q116" s="43"/>
      <c r="R116" s="87"/>
      <c r="S116" s="87"/>
    </row>
    <row r="117" spans="1:19" ht="90" x14ac:dyDescent="0.2">
      <c r="A117" s="8"/>
      <c r="B117" s="79" t="s">
        <v>279</v>
      </c>
      <c r="C117" s="39">
        <f t="shared" si="11"/>
        <v>1.2250000000000001</v>
      </c>
      <c r="D117" s="104">
        <v>1.2250000000000001</v>
      </c>
      <c r="E117" s="6"/>
      <c r="F117" s="39">
        <f t="shared" si="12"/>
        <v>1.2250000000000001</v>
      </c>
      <c r="G117" s="104">
        <v>1.2250000000000001</v>
      </c>
      <c r="H117" s="122"/>
      <c r="I117" s="39">
        <f t="shared" si="13"/>
        <v>0</v>
      </c>
      <c r="J117" s="113"/>
      <c r="K117" s="6"/>
      <c r="L117" s="93">
        <f t="shared" si="25"/>
        <v>0</v>
      </c>
      <c r="M117" s="93"/>
      <c r="N117" s="8" t="s">
        <v>277</v>
      </c>
      <c r="O117" s="15" t="s">
        <v>276</v>
      </c>
      <c r="P117" s="82" t="s">
        <v>278</v>
      </c>
      <c r="Q117" s="42"/>
      <c r="R117" s="87"/>
      <c r="S117" s="87"/>
    </row>
    <row r="118" spans="1:19" ht="90" x14ac:dyDescent="0.2">
      <c r="A118" s="8"/>
      <c r="B118" s="19" t="s">
        <v>280</v>
      </c>
      <c r="C118" s="39">
        <f t="shared" si="11"/>
        <v>4.3150000000000004</v>
      </c>
      <c r="D118" s="6">
        <v>4.3150000000000004</v>
      </c>
      <c r="E118" s="6"/>
      <c r="F118" s="39">
        <f t="shared" si="12"/>
        <v>5</v>
      </c>
      <c r="G118" s="6">
        <v>5</v>
      </c>
      <c r="H118" s="122"/>
      <c r="I118" s="39">
        <f t="shared" si="13"/>
        <v>0</v>
      </c>
      <c r="J118" s="113"/>
      <c r="K118" s="6"/>
      <c r="L118" s="93">
        <f t="shared" si="25"/>
        <v>0</v>
      </c>
      <c r="M118" s="93"/>
      <c r="N118" s="8" t="s">
        <v>333</v>
      </c>
      <c r="O118" s="15" t="s">
        <v>207</v>
      </c>
      <c r="P118" s="57" t="s">
        <v>281</v>
      </c>
      <c r="Q118" s="42"/>
      <c r="R118" s="87"/>
      <c r="S118" s="87"/>
    </row>
    <row r="119" spans="1:19" x14ac:dyDescent="0.2">
      <c r="A119" s="8"/>
      <c r="B119" s="82" t="s">
        <v>282</v>
      </c>
      <c r="C119" s="39">
        <f t="shared" si="11"/>
        <v>33.5779</v>
      </c>
      <c r="D119" s="6"/>
      <c r="E119" s="6">
        <v>33.5779</v>
      </c>
      <c r="F119" s="39">
        <f t="shared" si="12"/>
        <v>0</v>
      </c>
      <c r="G119" s="6"/>
      <c r="H119" s="122"/>
      <c r="I119" s="39">
        <f t="shared" si="13"/>
        <v>0</v>
      </c>
      <c r="J119" s="113"/>
      <c r="K119" s="6"/>
      <c r="L119" s="93">
        <f t="shared" si="25"/>
        <v>0</v>
      </c>
      <c r="M119" s="93"/>
      <c r="N119" s="8"/>
      <c r="O119" s="15"/>
      <c r="P119" s="82"/>
      <c r="Q119" s="42"/>
      <c r="R119" s="87"/>
      <c r="S119" s="87"/>
    </row>
    <row r="120" spans="1:19" x14ac:dyDescent="0.2">
      <c r="A120" s="8"/>
      <c r="B120" s="72" t="s">
        <v>15</v>
      </c>
      <c r="C120" s="39">
        <f t="shared" si="11"/>
        <v>39.802900000000001</v>
      </c>
      <c r="D120" s="6">
        <f>SUM(D116:D119)</f>
        <v>6.2250000000000005</v>
      </c>
      <c r="E120" s="6">
        <f>SUM(E116:E119)</f>
        <v>33.5779</v>
      </c>
      <c r="F120" s="39">
        <f t="shared" si="12"/>
        <v>6.91</v>
      </c>
      <c r="G120" s="6">
        <f>SUM(G116:G119)</f>
        <v>6.91</v>
      </c>
      <c r="H120" s="6">
        <f>SUM(H116:H119)</f>
        <v>0</v>
      </c>
      <c r="I120" s="39">
        <f t="shared" si="13"/>
        <v>0.68500000000000005</v>
      </c>
      <c r="J120" s="6">
        <f>SUM(J116:J119)</f>
        <v>0.68500000000000005</v>
      </c>
      <c r="K120" s="6">
        <f>SUM(K116:K119)</f>
        <v>0</v>
      </c>
      <c r="L120" s="93">
        <f t="shared" si="25"/>
        <v>1.7209801295885476</v>
      </c>
      <c r="M120" s="93"/>
      <c r="N120" s="8"/>
      <c r="O120" s="94"/>
      <c r="P120" s="94"/>
      <c r="Q120" s="42"/>
      <c r="R120" s="87"/>
      <c r="S120" s="87"/>
    </row>
    <row r="121" spans="1:19" x14ac:dyDescent="0.2">
      <c r="A121" s="8"/>
      <c r="B121" s="72"/>
      <c r="C121" s="39"/>
      <c r="D121" s="6"/>
      <c r="E121" s="6"/>
      <c r="F121" s="39"/>
      <c r="G121" s="6"/>
      <c r="H121" s="6"/>
      <c r="I121" s="39"/>
      <c r="J121" s="6"/>
      <c r="K121" s="6"/>
      <c r="L121" s="93"/>
      <c r="M121" s="93"/>
      <c r="N121" s="8"/>
      <c r="O121" s="94"/>
      <c r="P121" s="94"/>
      <c r="Q121" s="43"/>
      <c r="R121" s="98"/>
      <c r="S121" s="98"/>
    </row>
    <row r="122" spans="1:19" ht="33.75" hidden="1" x14ac:dyDescent="0.2">
      <c r="A122" s="8" t="s">
        <v>33</v>
      </c>
      <c r="B122" s="30" t="s">
        <v>34</v>
      </c>
      <c r="C122" s="39"/>
      <c r="D122" s="123"/>
      <c r="E122" s="123"/>
      <c r="F122" s="39"/>
      <c r="G122" s="123"/>
      <c r="H122" s="123"/>
      <c r="I122" s="39"/>
      <c r="J122" s="123"/>
      <c r="K122" s="123"/>
      <c r="L122" s="93"/>
      <c r="M122" s="93"/>
      <c r="N122" s="8"/>
      <c r="O122" s="82"/>
      <c r="P122" s="82"/>
      <c r="Q122" s="42"/>
      <c r="R122" s="87"/>
      <c r="S122" s="87"/>
    </row>
    <row r="123" spans="1:19" hidden="1" x14ac:dyDescent="0.2">
      <c r="A123" s="8"/>
      <c r="B123" s="19"/>
      <c r="C123" s="39">
        <f t="shared" si="11"/>
        <v>0</v>
      </c>
      <c r="D123" s="123"/>
      <c r="E123" s="123"/>
      <c r="F123" s="39">
        <f t="shared" si="12"/>
        <v>0</v>
      </c>
      <c r="G123" s="123"/>
      <c r="H123" s="123"/>
      <c r="I123" s="39">
        <f t="shared" si="13"/>
        <v>0</v>
      </c>
      <c r="J123" s="123"/>
      <c r="K123" s="123"/>
      <c r="L123" s="93" t="e">
        <f t="shared" si="25"/>
        <v>#DIV/0!</v>
      </c>
      <c r="M123" s="93"/>
      <c r="N123" s="8"/>
      <c r="O123" s="82"/>
      <c r="P123" s="82"/>
      <c r="Q123" s="42"/>
      <c r="R123" s="87"/>
      <c r="S123" s="87"/>
    </row>
    <row r="124" spans="1:19" hidden="1" x14ac:dyDescent="0.2">
      <c r="A124" s="8"/>
      <c r="B124" s="83"/>
      <c r="C124" s="39">
        <f t="shared" si="11"/>
        <v>0</v>
      </c>
      <c r="D124" s="123"/>
      <c r="E124" s="123"/>
      <c r="F124" s="39">
        <f t="shared" si="12"/>
        <v>0</v>
      </c>
      <c r="G124" s="123"/>
      <c r="H124" s="123"/>
      <c r="I124" s="39">
        <f t="shared" si="13"/>
        <v>0</v>
      </c>
      <c r="J124" s="123"/>
      <c r="K124" s="123"/>
      <c r="L124" s="93" t="e">
        <f t="shared" si="25"/>
        <v>#DIV/0!</v>
      </c>
      <c r="M124" s="93"/>
      <c r="N124" s="8"/>
      <c r="O124" s="82"/>
      <c r="P124" s="83"/>
      <c r="Q124" s="42"/>
      <c r="R124" s="87"/>
      <c r="S124" s="87"/>
    </row>
    <row r="125" spans="1:19" hidden="1" x14ac:dyDescent="0.2">
      <c r="A125" s="8"/>
      <c r="B125" s="83"/>
      <c r="C125" s="39">
        <f t="shared" si="11"/>
        <v>0</v>
      </c>
      <c r="D125" s="123"/>
      <c r="E125" s="123"/>
      <c r="F125" s="39">
        <f t="shared" si="12"/>
        <v>0</v>
      </c>
      <c r="G125" s="123"/>
      <c r="H125" s="123"/>
      <c r="I125" s="39">
        <f t="shared" si="13"/>
        <v>0</v>
      </c>
      <c r="J125" s="123"/>
      <c r="K125" s="123"/>
      <c r="L125" s="93" t="e">
        <f t="shared" si="25"/>
        <v>#DIV/0!</v>
      </c>
      <c r="M125" s="93"/>
      <c r="N125" s="8"/>
      <c r="O125" s="82"/>
      <c r="P125" s="83"/>
      <c r="Q125" s="42"/>
      <c r="R125" s="87"/>
      <c r="S125" s="87"/>
    </row>
    <row r="126" spans="1:19" hidden="1" x14ac:dyDescent="0.2">
      <c r="A126" s="8"/>
      <c r="B126" s="83"/>
      <c r="C126" s="39"/>
      <c r="D126" s="123"/>
      <c r="E126" s="123"/>
      <c r="F126" s="39"/>
      <c r="G126" s="123"/>
      <c r="H126" s="123"/>
      <c r="I126" s="39"/>
      <c r="J126" s="123"/>
      <c r="K126" s="123"/>
      <c r="L126" s="93" t="e">
        <f t="shared" si="25"/>
        <v>#DIV/0!</v>
      </c>
      <c r="M126" s="93"/>
      <c r="N126" s="8"/>
      <c r="O126" s="82"/>
      <c r="P126" s="83"/>
      <c r="Q126" s="42"/>
      <c r="R126" s="87"/>
      <c r="S126" s="87"/>
    </row>
    <row r="127" spans="1:19" hidden="1" x14ac:dyDescent="0.2">
      <c r="A127" s="8"/>
      <c r="B127" s="19" t="s">
        <v>15</v>
      </c>
      <c r="C127" s="39">
        <f t="shared" ref="C127:C151" si="26">D127+E127</f>
        <v>0</v>
      </c>
      <c r="D127" s="123">
        <f>SUM(D123:D126)</f>
        <v>0</v>
      </c>
      <c r="E127" s="123">
        <f>SUM(E123:E126)</f>
        <v>0</v>
      </c>
      <c r="F127" s="39">
        <f t="shared" ref="F127:F151" si="27">G127+H127</f>
        <v>0</v>
      </c>
      <c r="G127" s="123">
        <f>SUM(G123:G126)</f>
        <v>0</v>
      </c>
      <c r="H127" s="123">
        <f>SUM(H123:H126)</f>
        <v>0</v>
      </c>
      <c r="I127" s="39">
        <f t="shared" ref="I127:I151" si="28">J127+K127</f>
        <v>0</v>
      </c>
      <c r="J127" s="123">
        <f>SUM(J123:J126)</f>
        <v>0</v>
      </c>
      <c r="K127" s="123">
        <f>SUM(K123:K126)</f>
        <v>0</v>
      </c>
      <c r="L127" s="93" t="e">
        <f t="shared" si="25"/>
        <v>#DIV/0!</v>
      </c>
      <c r="M127" s="93"/>
      <c r="N127" s="8"/>
      <c r="O127" s="82"/>
      <c r="P127" s="82"/>
      <c r="Q127" s="42"/>
      <c r="R127" s="87"/>
      <c r="S127" s="87"/>
    </row>
    <row r="128" spans="1:19" hidden="1" x14ac:dyDescent="0.2">
      <c r="A128" s="8"/>
      <c r="B128" s="19"/>
      <c r="C128" s="39"/>
      <c r="D128" s="123"/>
      <c r="E128" s="123"/>
      <c r="F128" s="39"/>
      <c r="G128" s="123"/>
      <c r="H128" s="123"/>
      <c r="I128" s="39"/>
      <c r="J128" s="123"/>
      <c r="K128" s="123"/>
      <c r="L128" s="93"/>
      <c r="M128" s="93"/>
      <c r="N128" s="8"/>
      <c r="O128" s="82"/>
      <c r="P128" s="82"/>
      <c r="Q128" s="43"/>
      <c r="R128" s="87"/>
      <c r="S128" s="87"/>
    </row>
    <row r="129" spans="1:19" ht="45" hidden="1" x14ac:dyDescent="0.2">
      <c r="A129" s="97" t="s">
        <v>35</v>
      </c>
      <c r="B129" s="17" t="s">
        <v>36</v>
      </c>
      <c r="C129" s="39"/>
      <c r="D129" s="89"/>
      <c r="E129" s="89"/>
      <c r="F129" s="39"/>
      <c r="G129" s="7"/>
      <c r="H129" s="90"/>
      <c r="I129" s="39"/>
      <c r="J129" s="7"/>
      <c r="K129" s="7"/>
      <c r="L129" s="93"/>
      <c r="M129" s="93"/>
      <c r="N129" s="91"/>
      <c r="O129" s="91"/>
      <c r="P129" s="91"/>
      <c r="Q129" s="42"/>
      <c r="R129" s="87"/>
      <c r="S129" s="87"/>
    </row>
    <row r="130" spans="1:19" ht="22.5" hidden="1" x14ac:dyDescent="0.2">
      <c r="A130" s="97"/>
      <c r="B130" s="63"/>
      <c r="C130" s="39">
        <f t="shared" si="26"/>
        <v>0</v>
      </c>
      <c r="D130" s="7"/>
      <c r="E130" s="89"/>
      <c r="F130" s="39">
        <f t="shared" si="27"/>
        <v>3</v>
      </c>
      <c r="G130" s="7">
        <v>3</v>
      </c>
      <c r="H130" s="90"/>
      <c r="I130" s="39">
        <f t="shared" si="28"/>
        <v>0</v>
      </c>
      <c r="J130" s="7"/>
      <c r="K130" s="7"/>
      <c r="L130" s="93" t="e">
        <f t="shared" si="25"/>
        <v>#DIV/0!</v>
      </c>
      <c r="M130" s="93"/>
      <c r="N130" s="124" t="s">
        <v>95</v>
      </c>
      <c r="O130" s="125">
        <v>44628</v>
      </c>
      <c r="P130" s="83"/>
      <c r="Q130" s="42"/>
      <c r="R130" s="87"/>
      <c r="S130" s="87"/>
    </row>
    <row r="131" spans="1:19" hidden="1" x14ac:dyDescent="0.2">
      <c r="A131" s="97"/>
      <c r="B131" s="83"/>
      <c r="C131" s="39">
        <f t="shared" si="26"/>
        <v>0</v>
      </c>
      <c r="D131" s="7"/>
      <c r="E131" s="89"/>
      <c r="F131" s="39">
        <f t="shared" si="27"/>
        <v>0</v>
      </c>
      <c r="G131" s="7"/>
      <c r="H131" s="90"/>
      <c r="I131" s="39">
        <f t="shared" si="28"/>
        <v>0</v>
      </c>
      <c r="J131" s="7"/>
      <c r="K131" s="7"/>
      <c r="L131" s="93" t="e">
        <f t="shared" si="25"/>
        <v>#DIV/0!</v>
      </c>
      <c r="M131" s="93"/>
      <c r="N131" s="91"/>
      <c r="O131" s="91"/>
      <c r="P131" s="83"/>
      <c r="Q131" s="42"/>
      <c r="R131" s="87"/>
      <c r="S131" s="87"/>
    </row>
    <row r="132" spans="1:19" hidden="1" x14ac:dyDescent="0.2">
      <c r="A132" s="97"/>
      <c r="B132" s="58"/>
      <c r="C132" s="39">
        <f t="shared" si="26"/>
        <v>0</v>
      </c>
      <c r="D132" s="104"/>
      <c r="E132" s="7"/>
      <c r="F132" s="39">
        <f t="shared" si="27"/>
        <v>0</v>
      </c>
      <c r="G132" s="122"/>
      <c r="H132" s="6"/>
      <c r="I132" s="39">
        <f t="shared" si="28"/>
        <v>0</v>
      </c>
      <c r="J132" s="6"/>
      <c r="K132" s="6"/>
      <c r="L132" s="93" t="e">
        <f t="shared" si="25"/>
        <v>#DIV/0!</v>
      </c>
      <c r="M132" s="93"/>
      <c r="N132" s="8"/>
      <c r="O132" s="21"/>
      <c r="P132" s="126"/>
      <c r="Q132" s="42"/>
      <c r="R132" s="87"/>
      <c r="S132" s="87"/>
    </row>
    <row r="133" spans="1:19" hidden="1" x14ac:dyDescent="0.2">
      <c r="A133" s="97"/>
      <c r="B133" s="83"/>
      <c r="C133" s="39">
        <f t="shared" si="26"/>
        <v>0</v>
      </c>
      <c r="D133" s="122"/>
      <c r="E133" s="7"/>
      <c r="F133" s="39">
        <f t="shared" si="27"/>
        <v>0</v>
      </c>
      <c r="G133" s="122"/>
      <c r="H133" s="6"/>
      <c r="I133" s="39">
        <f t="shared" si="28"/>
        <v>0</v>
      </c>
      <c r="J133" s="6"/>
      <c r="K133" s="6"/>
      <c r="L133" s="93" t="e">
        <f t="shared" si="25"/>
        <v>#DIV/0!</v>
      </c>
      <c r="M133" s="93"/>
      <c r="N133" s="8"/>
      <c r="O133" s="21"/>
      <c r="P133" s="83"/>
      <c r="Q133" s="42"/>
      <c r="R133" s="87"/>
      <c r="S133" s="87"/>
    </row>
    <row r="134" spans="1:19" hidden="1" x14ac:dyDescent="0.2">
      <c r="A134" s="97"/>
      <c r="B134" s="76"/>
      <c r="C134" s="39">
        <f t="shared" si="26"/>
        <v>0</v>
      </c>
      <c r="D134" s="122"/>
      <c r="E134" s="7"/>
      <c r="F134" s="39">
        <f t="shared" si="27"/>
        <v>0</v>
      </c>
      <c r="G134" s="122"/>
      <c r="H134" s="6"/>
      <c r="I134" s="39">
        <f t="shared" si="28"/>
        <v>0</v>
      </c>
      <c r="J134" s="6"/>
      <c r="K134" s="6"/>
      <c r="L134" s="93" t="e">
        <f t="shared" si="25"/>
        <v>#DIV/0!</v>
      </c>
      <c r="M134" s="93"/>
      <c r="N134" s="8"/>
      <c r="O134" s="21"/>
      <c r="P134" s="1"/>
      <c r="Q134" s="42"/>
      <c r="R134" s="87"/>
    </row>
    <row r="135" spans="1:19" hidden="1" x14ac:dyDescent="0.2">
      <c r="A135" s="97"/>
      <c r="B135" s="17" t="s">
        <v>15</v>
      </c>
      <c r="C135" s="39">
        <f t="shared" si="26"/>
        <v>0</v>
      </c>
      <c r="D135" s="7">
        <f>SUM(D130:D134)</f>
        <v>0</v>
      </c>
      <c r="E135" s="7">
        <f>SUM(E130:E134)</f>
        <v>0</v>
      </c>
      <c r="F135" s="39">
        <f t="shared" si="27"/>
        <v>3</v>
      </c>
      <c r="G135" s="7">
        <f>SUM(G130:G134)</f>
        <v>3</v>
      </c>
      <c r="H135" s="7">
        <f>SUM(H130:H134)</f>
        <v>0</v>
      </c>
      <c r="I135" s="39">
        <f t="shared" si="28"/>
        <v>0</v>
      </c>
      <c r="J135" s="7">
        <f>SUM(J130:J134)</f>
        <v>0</v>
      </c>
      <c r="K135" s="7">
        <f>SUM(K130:K134)</f>
        <v>0</v>
      </c>
      <c r="L135" s="93" t="e">
        <f t="shared" si="25"/>
        <v>#DIV/0!</v>
      </c>
      <c r="M135" s="93"/>
      <c r="N135" s="97"/>
      <c r="O135" s="107"/>
      <c r="P135" s="107"/>
      <c r="Q135" s="42"/>
      <c r="R135" s="87"/>
    </row>
    <row r="136" spans="1:19" x14ac:dyDescent="0.2">
      <c r="A136" s="97"/>
      <c r="B136" s="17"/>
      <c r="C136" s="39"/>
      <c r="D136" s="7"/>
      <c r="E136" s="7"/>
      <c r="F136" s="39"/>
      <c r="G136" s="7"/>
      <c r="H136" s="7"/>
      <c r="I136" s="39"/>
      <c r="J136" s="7"/>
      <c r="K136" s="7"/>
      <c r="L136" s="93"/>
      <c r="M136" s="93"/>
      <c r="N136" s="97"/>
      <c r="O136" s="107"/>
      <c r="P136" s="107"/>
      <c r="Q136" s="42"/>
      <c r="R136" s="98"/>
    </row>
    <row r="137" spans="1:19" ht="45" hidden="1" x14ac:dyDescent="0.2">
      <c r="A137" s="149" t="s">
        <v>37</v>
      </c>
      <c r="B137" s="17" t="s">
        <v>38</v>
      </c>
      <c r="C137" s="39"/>
      <c r="D137" s="7"/>
      <c r="E137" s="7"/>
      <c r="F137" s="39"/>
      <c r="G137" s="7"/>
      <c r="H137" s="7"/>
      <c r="I137" s="39"/>
      <c r="J137" s="7"/>
      <c r="K137" s="7"/>
      <c r="L137" s="93"/>
      <c r="M137" s="93"/>
      <c r="N137" s="97"/>
      <c r="O137" s="107"/>
      <c r="P137" s="107"/>
      <c r="Q137" s="42"/>
      <c r="R137" s="87"/>
    </row>
    <row r="138" spans="1:19" hidden="1" x14ac:dyDescent="0.2">
      <c r="A138" s="97"/>
      <c r="B138" s="71"/>
      <c r="C138" s="39">
        <f t="shared" si="26"/>
        <v>0</v>
      </c>
      <c r="D138" s="7"/>
      <c r="E138" s="7"/>
      <c r="F138" s="39">
        <f t="shared" si="27"/>
        <v>0</v>
      </c>
      <c r="G138" s="7"/>
      <c r="H138" s="7"/>
      <c r="I138" s="39">
        <f t="shared" si="28"/>
        <v>0</v>
      </c>
      <c r="J138" s="7"/>
      <c r="K138" s="7"/>
      <c r="L138" s="93" t="e">
        <f t="shared" si="25"/>
        <v>#DIV/0!</v>
      </c>
      <c r="M138" s="93"/>
      <c r="N138" s="8"/>
      <c r="O138" s="94"/>
      <c r="P138" s="16"/>
      <c r="Q138" s="42"/>
      <c r="R138" s="87"/>
    </row>
    <row r="139" spans="1:19" hidden="1" x14ac:dyDescent="0.2">
      <c r="A139" s="97"/>
      <c r="B139" s="17"/>
      <c r="C139" s="39"/>
      <c r="D139" s="7"/>
      <c r="E139" s="7"/>
      <c r="F139" s="39"/>
      <c r="G139" s="7"/>
      <c r="H139" s="7"/>
      <c r="I139" s="39"/>
      <c r="J139" s="39"/>
      <c r="K139" s="39"/>
      <c r="L139" s="93"/>
      <c r="M139" s="93"/>
      <c r="N139" s="97"/>
      <c r="O139" s="107"/>
      <c r="P139" s="107"/>
      <c r="Q139" s="47"/>
      <c r="R139" s="127"/>
    </row>
    <row r="140" spans="1:19" ht="45" x14ac:dyDescent="0.2">
      <c r="A140" s="97" t="s">
        <v>39</v>
      </c>
      <c r="B140" s="17" t="s">
        <v>40</v>
      </c>
      <c r="C140" s="39"/>
      <c r="D140" s="89"/>
      <c r="E140" s="89"/>
      <c r="F140" s="39"/>
      <c r="G140" s="7"/>
      <c r="H140" s="90"/>
      <c r="I140" s="39"/>
      <c r="J140" s="7"/>
      <c r="K140" s="7"/>
      <c r="L140" s="93"/>
      <c r="M140" s="93"/>
      <c r="N140" s="91"/>
      <c r="O140" s="91"/>
      <c r="P140" s="91"/>
      <c r="Q140" s="42"/>
      <c r="R140" s="87"/>
    </row>
    <row r="141" spans="1:19" ht="21.75" customHeight="1" x14ac:dyDescent="0.2">
      <c r="A141" s="8"/>
      <c r="B141" s="34" t="s">
        <v>283</v>
      </c>
      <c r="C141" s="39">
        <f t="shared" si="26"/>
        <v>50</v>
      </c>
      <c r="D141" s="39"/>
      <c r="E141" s="110">
        <v>50</v>
      </c>
      <c r="F141" s="39">
        <f t="shared" si="27"/>
        <v>0</v>
      </c>
      <c r="G141" s="7"/>
      <c r="H141" s="110"/>
      <c r="I141" s="39">
        <f t="shared" si="28"/>
        <v>0</v>
      </c>
      <c r="J141" s="6"/>
      <c r="K141" s="6"/>
      <c r="L141" s="93">
        <f t="shared" ref="L141:L170" si="29">I141/C141%</f>
        <v>0</v>
      </c>
      <c r="M141" s="93"/>
      <c r="N141" s="20"/>
      <c r="O141" s="21"/>
      <c r="P141" s="5"/>
      <c r="Q141" s="42"/>
      <c r="R141" s="87"/>
    </row>
    <row r="142" spans="1:19" ht="22.5" x14ac:dyDescent="0.2">
      <c r="A142" s="8"/>
      <c r="B142" s="128" t="s">
        <v>284</v>
      </c>
      <c r="C142" s="39">
        <f t="shared" si="26"/>
        <v>1E-4</v>
      </c>
      <c r="D142" s="6"/>
      <c r="E142" s="129">
        <v>1E-4</v>
      </c>
      <c r="F142" s="39">
        <f t="shared" si="27"/>
        <v>0</v>
      </c>
      <c r="G142" s="6"/>
      <c r="H142" s="101"/>
      <c r="I142" s="39">
        <f t="shared" si="28"/>
        <v>0</v>
      </c>
      <c r="J142" s="6"/>
      <c r="K142" s="6"/>
      <c r="L142" s="93">
        <f t="shared" si="29"/>
        <v>0</v>
      </c>
      <c r="M142" s="93"/>
      <c r="N142" s="8"/>
      <c r="O142" s="20"/>
      <c r="P142" s="126"/>
      <c r="Q142" s="42"/>
      <c r="R142" s="87"/>
    </row>
    <row r="143" spans="1:19" ht="22.5" x14ac:dyDescent="0.2">
      <c r="A143" s="8"/>
      <c r="B143" s="128" t="s">
        <v>285</v>
      </c>
      <c r="C143" s="39">
        <f t="shared" si="26"/>
        <v>0.90410000000000001</v>
      </c>
      <c r="D143" s="6"/>
      <c r="E143" s="129">
        <v>0.90410000000000001</v>
      </c>
      <c r="F143" s="39">
        <f t="shared" si="27"/>
        <v>0</v>
      </c>
      <c r="G143" s="6"/>
      <c r="H143" s="101"/>
      <c r="I143" s="39">
        <f t="shared" si="28"/>
        <v>0</v>
      </c>
      <c r="J143" s="6"/>
      <c r="K143" s="6"/>
      <c r="L143" s="93">
        <f t="shared" si="29"/>
        <v>0</v>
      </c>
      <c r="M143" s="93"/>
      <c r="N143" s="8"/>
      <c r="O143" s="20"/>
      <c r="P143" s="126"/>
      <c r="Q143" s="42"/>
      <c r="R143" s="87"/>
    </row>
    <row r="144" spans="1:19" ht="22.5" x14ac:dyDescent="0.2">
      <c r="A144" s="8"/>
      <c r="B144" s="34" t="s">
        <v>286</v>
      </c>
      <c r="C144" s="39">
        <f t="shared" si="26"/>
        <v>1.5673299999999999</v>
      </c>
      <c r="D144" s="6"/>
      <c r="E144" s="101">
        <v>1.5673299999999999</v>
      </c>
      <c r="F144" s="39">
        <f t="shared" si="27"/>
        <v>0</v>
      </c>
      <c r="G144" s="6"/>
      <c r="H144" s="101"/>
      <c r="I144" s="39">
        <f t="shared" si="28"/>
        <v>0</v>
      </c>
      <c r="J144" s="6"/>
      <c r="K144" s="6"/>
      <c r="L144" s="93">
        <f t="shared" si="29"/>
        <v>0</v>
      </c>
      <c r="M144" s="93"/>
      <c r="N144" s="130"/>
      <c r="O144" s="5"/>
      <c r="P144" s="5"/>
      <c r="Q144" s="42"/>
      <c r="R144" s="87"/>
      <c r="S144" s="87"/>
    </row>
    <row r="145" spans="1:19" ht="33.75" x14ac:dyDescent="0.2">
      <c r="A145" s="8"/>
      <c r="B145" s="29" t="s">
        <v>287</v>
      </c>
      <c r="C145" s="39">
        <f t="shared" si="26"/>
        <v>32.613030000000002</v>
      </c>
      <c r="D145" s="6"/>
      <c r="E145" s="101">
        <v>32.613030000000002</v>
      </c>
      <c r="F145" s="39">
        <f t="shared" si="27"/>
        <v>0</v>
      </c>
      <c r="G145" s="6"/>
      <c r="H145" s="101"/>
      <c r="I145" s="39">
        <f t="shared" si="28"/>
        <v>0</v>
      </c>
      <c r="J145" s="6"/>
      <c r="K145" s="6"/>
      <c r="L145" s="93">
        <f t="shared" si="29"/>
        <v>0</v>
      </c>
      <c r="M145" s="93"/>
      <c r="N145" s="8"/>
      <c r="O145" s="20"/>
      <c r="P145" s="54"/>
      <c r="Q145" s="42"/>
      <c r="R145" s="87"/>
    </row>
    <row r="146" spans="1:19" x14ac:dyDescent="0.2">
      <c r="A146" s="97"/>
      <c r="B146" s="17" t="s">
        <v>15</v>
      </c>
      <c r="C146" s="39">
        <f t="shared" si="26"/>
        <v>85.08456000000001</v>
      </c>
      <c r="D146" s="7">
        <f>SUM(D141:D145)</f>
        <v>0</v>
      </c>
      <c r="E146" s="7">
        <f>SUM(E141:E145)</f>
        <v>85.08456000000001</v>
      </c>
      <c r="F146" s="39">
        <f t="shared" si="27"/>
        <v>0</v>
      </c>
      <c r="G146" s="7">
        <f>SUM(G141:G145)</f>
        <v>0</v>
      </c>
      <c r="H146" s="7">
        <f>SUM(H141:H145)</f>
        <v>0</v>
      </c>
      <c r="I146" s="39">
        <f t="shared" si="28"/>
        <v>0</v>
      </c>
      <c r="J146" s="7">
        <f>SUM(J141:J145)</f>
        <v>0</v>
      </c>
      <c r="K146" s="7">
        <f>SUM(K141:K145)</f>
        <v>0</v>
      </c>
      <c r="L146" s="93">
        <f t="shared" si="29"/>
        <v>0</v>
      </c>
      <c r="M146" s="93"/>
      <c r="N146" s="8"/>
      <c r="O146" s="6"/>
      <c r="P146" s="6"/>
      <c r="Q146" s="43"/>
      <c r="R146" s="98"/>
      <c r="S146" s="98"/>
    </row>
    <row r="147" spans="1:19" x14ac:dyDescent="0.2">
      <c r="A147" s="97"/>
      <c r="B147" s="17"/>
      <c r="C147" s="39"/>
      <c r="D147" s="7"/>
      <c r="E147" s="7"/>
      <c r="F147" s="39"/>
      <c r="G147" s="7"/>
      <c r="H147" s="7"/>
      <c r="I147" s="39"/>
      <c r="J147" s="7"/>
      <c r="K147" s="7"/>
      <c r="L147" s="93"/>
      <c r="M147" s="93"/>
      <c r="N147" s="8"/>
      <c r="O147" s="94"/>
      <c r="P147" s="94"/>
      <c r="Q147" s="42"/>
      <c r="R147" s="98"/>
      <c r="S147" s="87"/>
    </row>
    <row r="148" spans="1:19" ht="67.5" x14ac:dyDescent="0.2">
      <c r="A148" s="97" t="s">
        <v>41</v>
      </c>
      <c r="B148" s="22" t="s">
        <v>42</v>
      </c>
      <c r="C148" s="39"/>
      <c r="D148" s="89"/>
      <c r="E148" s="89"/>
      <c r="F148" s="39"/>
      <c r="G148" s="7"/>
      <c r="H148" s="90"/>
      <c r="I148" s="39"/>
      <c r="J148" s="7"/>
      <c r="K148" s="7"/>
      <c r="L148" s="93"/>
      <c r="M148" s="93"/>
      <c r="N148" s="91"/>
      <c r="O148" s="91"/>
      <c r="P148" s="91"/>
      <c r="Q148" s="42"/>
      <c r="R148" s="87"/>
      <c r="S148" s="87"/>
    </row>
    <row r="149" spans="1:19" ht="202.5" x14ac:dyDescent="0.2">
      <c r="A149" s="8"/>
      <c r="B149" s="49" t="s">
        <v>353</v>
      </c>
      <c r="C149" s="39">
        <f t="shared" si="26"/>
        <v>25.390999999999998</v>
      </c>
      <c r="D149" s="131">
        <v>25.390999999999998</v>
      </c>
      <c r="E149" s="132"/>
      <c r="F149" s="39">
        <f t="shared" si="27"/>
        <v>25.390999999999998</v>
      </c>
      <c r="G149" s="131">
        <v>25.390999999999998</v>
      </c>
      <c r="H149" s="131"/>
      <c r="I149" s="39">
        <f t="shared" si="28"/>
        <v>25.390999999999998</v>
      </c>
      <c r="J149" s="131">
        <v>25.390999999999998</v>
      </c>
      <c r="K149" s="6"/>
      <c r="L149" s="93">
        <f t="shared" si="29"/>
        <v>100</v>
      </c>
      <c r="M149" s="93"/>
      <c r="N149" s="133" t="s">
        <v>352</v>
      </c>
      <c r="O149" s="134" t="s">
        <v>209</v>
      </c>
      <c r="P149" s="37" t="s">
        <v>208</v>
      </c>
      <c r="Q149" s="42"/>
      <c r="R149" s="87"/>
      <c r="S149" s="87"/>
    </row>
    <row r="150" spans="1:19" ht="126.75" customHeight="1" x14ac:dyDescent="0.2">
      <c r="A150" s="8"/>
      <c r="B150" s="77" t="s">
        <v>368</v>
      </c>
      <c r="C150" s="39">
        <f t="shared" si="26"/>
        <v>60.722490000000001</v>
      </c>
      <c r="D150" s="7">
        <v>60.722490000000001</v>
      </c>
      <c r="E150" s="7"/>
      <c r="F150" s="39">
        <f t="shared" si="27"/>
        <v>121.44498</v>
      </c>
      <c r="G150" s="7">
        <v>121.44498</v>
      </c>
      <c r="H150" s="131"/>
      <c r="I150" s="39">
        <f t="shared" si="28"/>
        <v>60.722490000000001</v>
      </c>
      <c r="J150" s="131">
        <v>60.722490000000001</v>
      </c>
      <c r="K150" s="6"/>
      <c r="L150" s="93">
        <f t="shared" si="29"/>
        <v>100.00000000000001</v>
      </c>
      <c r="M150" s="93"/>
      <c r="N150" s="20" t="s">
        <v>369</v>
      </c>
      <c r="O150" s="135"/>
      <c r="P150" s="37" t="s">
        <v>367</v>
      </c>
      <c r="Q150" s="42"/>
      <c r="R150" s="87"/>
      <c r="S150" s="87"/>
    </row>
    <row r="151" spans="1:19" ht="78.75" x14ac:dyDescent="0.2">
      <c r="A151" s="8"/>
      <c r="B151" s="75" t="s">
        <v>210</v>
      </c>
      <c r="C151" s="39">
        <f t="shared" si="26"/>
        <v>130</v>
      </c>
      <c r="D151" s="131">
        <v>130</v>
      </c>
      <c r="E151" s="7"/>
      <c r="F151" s="39">
        <f t="shared" si="27"/>
        <v>550</v>
      </c>
      <c r="G151" s="131">
        <v>550</v>
      </c>
      <c r="H151" s="131"/>
      <c r="I151" s="39">
        <f t="shared" si="28"/>
        <v>73.455999999999989</v>
      </c>
      <c r="J151" s="131">
        <f>50.623+22.833</f>
        <v>73.455999999999989</v>
      </c>
      <c r="K151" s="6"/>
      <c r="L151" s="93">
        <f t="shared" si="29"/>
        <v>56.504615384615377</v>
      </c>
      <c r="M151" s="93"/>
      <c r="N151" s="20" t="s">
        <v>159</v>
      </c>
      <c r="O151" s="136">
        <v>6</v>
      </c>
      <c r="P151" s="37" t="s">
        <v>208</v>
      </c>
      <c r="Q151" s="42"/>
      <c r="R151" s="87"/>
      <c r="S151" s="87"/>
    </row>
    <row r="152" spans="1:19" ht="78.75" x14ac:dyDescent="0.2">
      <c r="A152" s="8"/>
      <c r="B152" s="49" t="s">
        <v>354</v>
      </c>
      <c r="C152" s="39">
        <f t="shared" ref="C152:C199" si="30">D152+E152</f>
        <v>26.709</v>
      </c>
      <c r="D152" s="131">
        <f>25.489+1.22</f>
        <v>26.709</v>
      </c>
      <c r="E152" s="7"/>
      <c r="F152" s="39">
        <f t="shared" ref="F152:F199" si="31">G152+H152</f>
        <v>139.97999999999999</v>
      </c>
      <c r="G152" s="131">
        <v>139.97999999999999</v>
      </c>
      <c r="H152" s="131"/>
      <c r="I152" s="39">
        <f t="shared" ref="I152:I199" si="32">J152+K152</f>
        <v>18.771999999999998</v>
      </c>
      <c r="J152" s="131">
        <f>9.386+9.386</f>
        <v>18.771999999999998</v>
      </c>
      <c r="K152" s="6"/>
      <c r="L152" s="93">
        <f t="shared" si="29"/>
        <v>70.283425062712936</v>
      </c>
      <c r="M152" s="93"/>
      <c r="N152" s="20" t="s">
        <v>355</v>
      </c>
      <c r="O152" s="135" t="s">
        <v>212</v>
      </c>
      <c r="P152" s="37" t="s">
        <v>211</v>
      </c>
      <c r="Q152" s="42"/>
      <c r="R152" s="87"/>
      <c r="S152" s="87"/>
    </row>
    <row r="153" spans="1:19" ht="56.25" x14ac:dyDescent="0.2">
      <c r="A153" s="8"/>
      <c r="B153" s="75" t="s">
        <v>213</v>
      </c>
      <c r="C153" s="39">
        <f t="shared" si="30"/>
        <v>4.9000000000000004</v>
      </c>
      <c r="D153" s="131">
        <v>4.9000000000000004</v>
      </c>
      <c r="E153" s="7"/>
      <c r="F153" s="39">
        <f t="shared" si="31"/>
        <v>4.9000000000000004</v>
      </c>
      <c r="G153" s="131">
        <v>4.9000000000000004</v>
      </c>
      <c r="H153" s="131"/>
      <c r="I153" s="39">
        <f t="shared" si="32"/>
        <v>4.9000000000000004</v>
      </c>
      <c r="J153" s="131">
        <v>4.9000000000000004</v>
      </c>
      <c r="K153" s="6"/>
      <c r="L153" s="93">
        <f t="shared" si="29"/>
        <v>100</v>
      </c>
      <c r="M153" s="93"/>
      <c r="N153" s="20" t="s">
        <v>404</v>
      </c>
      <c r="O153" s="136">
        <v>139</v>
      </c>
      <c r="P153" s="37" t="s">
        <v>167</v>
      </c>
      <c r="Q153" s="42"/>
      <c r="R153" s="87"/>
      <c r="S153" s="87"/>
    </row>
    <row r="154" spans="1:19" x14ac:dyDescent="0.2">
      <c r="A154" s="97"/>
      <c r="B154" s="73" t="s">
        <v>15</v>
      </c>
      <c r="C154" s="39">
        <f t="shared" si="30"/>
        <v>247.72249000000002</v>
      </c>
      <c r="D154" s="137">
        <f>SUM(D149:D153)</f>
        <v>247.72249000000002</v>
      </c>
      <c r="E154" s="137">
        <f>SUM(E149:E153)</f>
        <v>0</v>
      </c>
      <c r="F154" s="39">
        <f t="shared" si="31"/>
        <v>841.71598000000006</v>
      </c>
      <c r="G154" s="137">
        <f>SUM(G149:G153)</f>
        <v>841.71598000000006</v>
      </c>
      <c r="H154" s="137">
        <f>SUM(H149:H153)</f>
        <v>0</v>
      </c>
      <c r="I154" s="39">
        <f t="shared" si="32"/>
        <v>183.24148999999997</v>
      </c>
      <c r="J154" s="137">
        <f>SUM(J149:J153)</f>
        <v>183.24148999999997</v>
      </c>
      <c r="K154" s="137">
        <f>SUM(K149:K153)</f>
        <v>0</v>
      </c>
      <c r="L154" s="93">
        <f t="shared" si="29"/>
        <v>73.97046993997192</v>
      </c>
      <c r="M154" s="93"/>
      <c r="N154" s="8"/>
      <c r="O154" s="94"/>
      <c r="P154" s="94"/>
      <c r="Q154" s="42"/>
      <c r="R154" s="87"/>
      <c r="S154" s="87"/>
    </row>
    <row r="155" spans="1:19" x14ac:dyDescent="0.2">
      <c r="A155" s="97"/>
      <c r="B155" s="73"/>
      <c r="C155" s="39"/>
      <c r="D155" s="137"/>
      <c r="E155" s="137"/>
      <c r="F155" s="39"/>
      <c r="G155" s="137"/>
      <c r="H155" s="137"/>
      <c r="I155" s="39"/>
      <c r="J155" s="137"/>
      <c r="K155" s="137"/>
      <c r="L155" s="93"/>
      <c r="M155" s="93"/>
      <c r="N155" s="8"/>
      <c r="O155" s="94"/>
      <c r="P155" s="94"/>
      <c r="Q155" s="43"/>
      <c r="R155" s="98"/>
      <c r="S155" s="87"/>
    </row>
    <row r="156" spans="1:19" ht="45" x14ac:dyDescent="0.2">
      <c r="A156" s="97" t="s">
        <v>43</v>
      </c>
      <c r="B156" s="17" t="s">
        <v>44</v>
      </c>
      <c r="C156" s="39"/>
      <c r="D156" s="89"/>
      <c r="E156" s="89"/>
      <c r="F156" s="39"/>
      <c r="G156" s="7"/>
      <c r="H156" s="90"/>
      <c r="I156" s="39"/>
      <c r="J156" s="7"/>
      <c r="K156" s="7"/>
      <c r="L156" s="93"/>
      <c r="M156" s="93"/>
      <c r="N156" s="91"/>
      <c r="O156" s="91"/>
      <c r="P156" s="91"/>
      <c r="Q156" s="42"/>
      <c r="R156" s="87"/>
      <c r="S156" s="87"/>
    </row>
    <row r="157" spans="1:19" ht="90" x14ac:dyDescent="0.2">
      <c r="A157" s="97"/>
      <c r="B157" s="83" t="s">
        <v>235</v>
      </c>
      <c r="C157" s="39">
        <f t="shared" si="30"/>
        <v>367.42500000000001</v>
      </c>
      <c r="D157" s="137">
        <v>18.372</v>
      </c>
      <c r="E157" s="137">
        <v>349.053</v>
      </c>
      <c r="F157" s="39">
        <f t="shared" si="31"/>
        <v>459.27998000000002</v>
      </c>
      <c r="G157" s="113">
        <v>22.963999999999999</v>
      </c>
      <c r="H157" s="113">
        <v>436.31598000000002</v>
      </c>
      <c r="I157" s="39">
        <f t="shared" si="32"/>
        <v>0</v>
      </c>
      <c r="J157" s="113"/>
      <c r="K157" s="113"/>
      <c r="L157" s="93">
        <f t="shared" si="29"/>
        <v>0</v>
      </c>
      <c r="M157" s="93">
        <v>15</v>
      </c>
      <c r="N157" s="8" t="s">
        <v>236</v>
      </c>
      <c r="O157" s="20" t="s">
        <v>237</v>
      </c>
      <c r="P157" s="83" t="s">
        <v>238</v>
      </c>
      <c r="Q157" s="43" t="s">
        <v>416</v>
      </c>
      <c r="R157" s="87"/>
      <c r="S157" s="87"/>
    </row>
    <row r="158" spans="1:19" hidden="1" x14ac:dyDescent="0.2">
      <c r="A158" s="97"/>
      <c r="B158" s="83"/>
      <c r="C158" s="39">
        <f t="shared" si="30"/>
        <v>0</v>
      </c>
      <c r="D158" s="113"/>
      <c r="E158" s="113"/>
      <c r="F158" s="39">
        <f t="shared" si="31"/>
        <v>0</v>
      </c>
      <c r="G158" s="113"/>
      <c r="H158" s="113"/>
      <c r="I158" s="39">
        <f t="shared" si="32"/>
        <v>0</v>
      </c>
      <c r="J158" s="113"/>
      <c r="K158" s="113"/>
      <c r="L158" s="93" t="e">
        <f t="shared" si="29"/>
        <v>#DIV/0!</v>
      </c>
      <c r="M158" s="93"/>
      <c r="N158" s="8"/>
      <c r="O158" s="20"/>
      <c r="P158" s="83"/>
      <c r="Q158" s="42"/>
      <c r="R158" s="87"/>
      <c r="S158" s="87"/>
    </row>
    <row r="159" spans="1:19" x14ac:dyDescent="0.2">
      <c r="A159" s="97"/>
      <c r="B159" s="78" t="s">
        <v>15</v>
      </c>
      <c r="C159" s="39">
        <f t="shared" si="30"/>
        <v>367.42500000000001</v>
      </c>
      <c r="D159" s="137">
        <f>SUM(D157:D158)</f>
        <v>18.372</v>
      </c>
      <c r="E159" s="137">
        <f>SUM(E157:E158)</f>
        <v>349.053</v>
      </c>
      <c r="F159" s="39">
        <f t="shared" si="31"/>
        <v>459.27998000000002</v>
      </c>
      <c r="G159" s="137">
        <f>SUM(G157:G158)</f>
        <v>22.963999999999999</v>
      </c>
      <c r="H159" s="137">
        <f>SUM(H157:H158)</f>
        <v>436.31598000000002</v>
      </c>
      <c r="I159" s="39">
        <f t="shared" si="32"/>
        <v>0</v>
      </c>
      <c r="J159" s="137">
        <f>SUM(J157:J158)</f>
        <v>0</v>
      </c>
      <c r="K159" s="137">
        <f>SUM(K157:K158)</f>
        <v>0</v>
      </c>
      <c r="L159" s="93">
        <f t="shared" si="29"/>
        <v>0</v>
      </c>
      <c r="M159" s="93"/>
      <c r="N159" s="8"/>
      <c r="O159" s="94"/>
      <c r="P159" s="94"/>
      <c r="Q159" s="42"/>
      <c r="R159" s="87"/>
      <c r="S159" s="87"/>
    </row>
    <row r="160" spans="1:19" x14ac:dyDescent="0.2">
      <c r="A160" s="97"/>
      <c r="B160" s="78"/>
      <c r="C160" s="39"/>
      <c r="D160" s="137"/>
      <c r="E160" s="137"/>
      <c r="F160" s="39"/>
      <c r="G160" s="137"/>
      <c r="H160" s="137"/>
      <c r="I160" s="39"/>
      <c r="J160" s="137"/>
      <c r="K160" s="137"/>
      <c r="L160" s="93"/>
      <c r="M160" s="93"/>
      <c r="N160" s="8"/>
      <c r="O160" s="94"/>
      <c r="P160" s="94"/>
      <c r="Q160" s="42"/>
      <c r="R160" s="87"/>
      <c r="S160" s="87"/>
    </row>
    <row r="161" spans="1:19" ht="22.5" hidden="1" x14ac:dyDescent="0.2">
      <c r="A161" s="97"/>
      <c r="B161" s="31" t="s">
        <v>45</v>
      </c>
      <c r="C161" s="39"/>
      <c r="D161" s="113"/>
      <c r="E161" s="113"/>
      <c r="F161" s="39"/>
      <c r="G161" s="113"/>
      <c r="H161" s="113"/>
      <c r="I161" s="39"/>
      <c r="J161" s="113"/>
      <c r="K161" s="113"/>
      <c r="L161" s="93" t="e">
        <f t="shared" si="29"/>
        <v>#DIV/0!</v>
      </c>
      <c r="M161" s="93"/>
      <c r="N161" s="97"/>
      <c r="O161" s="61"/>
      <c r="P161" s="138"/>
      <c r="Q161" s="42"/>
      <c r="R161" s="87"/>
      <c r="S161" s="87"/>
    </row>
    <row r="162" spans="1:19" hidden="1" x14ac:dyDescent="0.2">
      <c r="A162" s="8"/>
      <c r="B162" s="32"/>
      <c r="C162" s="39">
        <f t="shared" si="30"/>
        <v>0</v>
      </c>
      <c r="D162" s="113"/>
      <c r="E162" s="113"/>
      <c r="F162" s="39">
        <f t="shared" si="31"/>
        <v>0</v>
      </c>
      <c r="G162" s="113"/>
      <c r="H162" s="113"/>
      <c r="I162" s="39">
        <f t="shared" si="32"/>
        <v>0</v>
      </c>
      <c r="J162" s="113"/>
      <c r="K162" s="113"/>
      <c r="L162" s="93" t="e">
        <f t="shared" si="29"/>
        <v>#DIV/0!</v>
      </c>
      <c r="M162" s="93"/>
      <c r="N162" s="8"/>
      <c r="O162" s="20"/>
      <c r="P162" s="139"/>
      <c r="Q162" s="42"/>
      <c r="R162" s="87"/>
      <c r="S162" s="87"/>
    </row>
    <row r="163" spans="1:19" hidden="1" x14ac:dyDescent="0.2">
      <c r="A163" s="97"/>
      <c r="B163" s="31"/>
      <c r="C163" s="39"/>
      <c r="D163" s="113"/>
      <c r="E163" s="113"/>
      <c r="F163" s="39"/>
      <c r="G163" s="113"/>
      <c r="H163" s="113"/>
      <c r="I163" s="39"/>
      <c r="J163" s="113"/>
      <c r="K163" s="113"/>
      <c r="L163" s="93"/>
      <c r="M163" s="93"/>
      <c r="N163" s="97"/>
      <c r="O163" s="61"/>
      <c r="P163" s="138"/>
      <c r="Q163" s="42"/>
      <c r="R163" s="87"/>
      <c r="S163" s="87"/>
    </row>
    <row r="164" spans="1:19" ht="45" x14ac:dyDescent="0.2">
      <c r="A164" s="97" t="s">
        <v>46</v>
      </c>
      <c r="B164" s="22" t="s">
        <v>47</v>
      </c>
      <c r="C164" s="39"/>
      <c r="D164" s="89"/>
      <c r="E164" s="89"/>
      <c r="F164" s="39"/>
      <c r="G164" s="7"/>
      <c r="H164" s="90"/>
      <c r="I164" s="39"/>
      <c r="J164" s="7"/>
      <c r="K164" s="7"/>
      <c r="L164" s="93"/>
      <c r="M164" s="93"/>
      <c r="N164" s="91"/>
      <c r="O164" s="91"/>
      <c r="P164" s="91"/>
      <c r="Q164" s="42"/>
    </row>
    <row r="165" spans="1:19" ht="45" x14ac:dyDescent="0.2">
      <c r="A165" s="8"/>
      <c r="B165" s="75" t="s">
        <v>122</v>
      </c>
      <c r="C165" s="39">
        <f t="shared" si="30"/>
        <v>35.20673</v>
      </c>
      <c r="D165" s="132">
        <v>35.20673</v>
      </c>
      <c r="E165" s="132"/>
      <c r="F165" s="39">
        <f t="shared" si="31"/>
        <v>35.20673</v>
      </c>
      <c r="G165" s="132">
        <v>35.20673</v>
      </c>
      <c r="H165" s="132"/>
      <c r="I165" s="39">
        <f t="shared" si="32"/>
        <v>35.20673</v>
      </c>
      <c r="J165" s="132">
        <v>35.20673</v>
      </c>
      <c r="K165" s="6"/>
      <c r="L165" s="93">
        <f t="shared" si="29"/>
        <v>100</v>
      </c>
      <c r="M165" s="93">
        <v>100</v>
      </c>
      <c r="N165" s="8" t="s">
        <v>157</v>
      </c>
      <c r="O165" s="9" t="s">
        <v>124</v>
      </c>
      <c r="P165" s="83" t="s">
        <v>125</v>
      </c>
      <c r="Q165" s="42"/>
    </row>
    <row r="166" spans="1:19" ht="56.25" x14ac:dyDescent="0.2">
      <c r="A166" s="8"/>
      <c r="B166" s="75" t="s">
        <v>288</v>
      </c>
      <c r="C166" s="39">
        <f t="shared" si="30"/>
        <v>239.06126</v>
      </c>
      <c r="D166" s="38"/>
      <c r="E166" s="38">
        <v>239.06126</v>
      </c>
      <c r="F166" s="39">
        <f t="shared" si="31"/>
        <v>239.06126</v>
      </c>
      <c r="G166" s="38"/>
      <c r="H166" s="38">
        <v>239.06126</v>
      </c>
      <c r="I166" s="39">
        <f t="shared" si="32"/>
        <v>121.68940000000001</v>
      </c>
      <c r="J166" s="38"/>
      <c r="K166" s="6">
        <f>56.80322+64.88618</f>
        <v>121.68940000000001</v>
      </c>
      <c r="L166" s="93">
        <f t="shared" si="29"/>
        <v>50.903019585858459</v>
      </c>
      <c r="M166" s="93">
        <v>85</v>
      </c>
      <c r="N166" s="8" t="s">
        <v>158</v>
      </c>
      <c r="O166" s="9">
        <v>130</v>
      </c>
      <c r="P166" s="140" t="s">
        <v>126</v>
      </c>
      <c r="Q166" s="42"/>
    </row>
    <row r="167" spans="1:19" ht="45" x14ac:dyDescent="0.2">
      <c r="A167" s="8"/>
      <c r="B167" s="75" t="s">
        <v>123</v>
      </c>
      <c r="C167" s="39">
        <f t="shared" si="30"/>
        <v>24.056000000000001</v>
      </c>
      <c r="D167" s="38">
        <v>24.056000000000001</v>
      </c>
      <c r="E167" s="38"/>
      <c r="F167" s="39">
        <f t="shared" si="31"/>
        <v>120.28867</v>
      </c>
      <c r="G167" s="38">
        <v>120.28867</v>
      </c>
      <c r="H167" s="38"/>
      <c r="I167" s="39">
        <f t="shared" si="32"/>
        <v>24.056000000000001</v>
      </c>
      <c r="J167" s="38">
        <v>24.056000000000001</v>
      </c>
      <c r="K167" s="6"/>
      <c r="L167" s="93">
        <f t="shared" si="29"/>
        <v>100</v>
      </c>
      <c r="M167" s="93">
        <v>100</v>
      </c>
      <c r="N167" s="8" t="s">
        <v>310</v>
      </c>
      <c r="O167" s="15" t="s">
        <v>311</v>
      </c>
      <c r="P167" s="83" t="s">
        <v>127</v>
      </c>
      <c r="Q167" s="42"/>
    </row>
    <row r="168" spans="1:19" ht="45" x14ac:dyDescent="0.2">
      <c r="A168" s="8"/>
      <c r="B168" s="75" t="s">
        <v>128</v>
      </c>
      <c r="C168" s="39">
        <f t="shared" si="30"/>
        <v>152.73134999999999</v>
      </c>
      <c r="D168" s="38">
        <v>152.73134999999999</v>
      </c>
      <c r="E168" s="38"/>
      <c r="F168" s="39">
        <f t="shared" si="31"/>
        <v>152.73134999999999</v>
      </c>
      <c r="G168" s="38">
        <v>152.73134999999999</v>
      </c>
      <c r="H168" s="38"/>
      <c r="I168" s="39">
        <f t="shared" si="32"/>
        <v>77.151319999999998</v>
      </c>
      <c r="J168" s="38">
        <v>77.151319999999998</v>
      </c>
      <c r="K168" s="6"/>
      <c r="L168" s="93">
        <f t="shared" si="29"/>
        <v>50.514396684112334</v>
      </c>
      <c r="M168" s="93">
        <v>100</v>
      </c>
      <c r="N168" s="12" t="s">
        <v>160</v>
      </c>
      <c r="O168" s="9">
        <v>103</v>
      </c>
      <c r="P168" s="83" t="s">
        <v>127</v>
      </c>
      <c r="Q168" s="42"/>
    </row>
    <row r="169" spans="1:19" ht="45" x14ac:dyDescent="0.2">
      <c r="A169" s="8"/>
      <c r="B169" s="75" t="s">
        <v>129</v>
      </c>
      <c r="C169" s="39">
        <f t="shared" si="30"/>
        <v>110.59381999999999</v>
      </c>
      <c r="D169" s="38">
        <v>110.59381999999999</v>
      </c>
      <c r="E169" s="38"/>
      <c r="F169" s="39">
        <f t="shared" si="31"/>
        <v>110.59381999999999</v>
      </c>
      <c r="G169" s="38">
        <v>110.59381999999999</v>
      </c>
      <c r="H169" s="38"/>
      <c r="I169" s="39">
        <f t="shared" si="32"/>
        <v>59.280119999999997</v>
      </c>
      <c r="J169" s="38">
        <v>59.280119999999997</v>
      </c>
      <c r="K169" s="6"/>
      <c r="L169" s="93">
        <f t="shared" si="29"/>
        <v>53.601656946111454</v>
      </c>
      <c r="M169" s="93">
        <v>100</v>
      </c>
      <c r="N169" s="23" t="s">
        <v>161</v>
      </c>
      <c r="O169" s="15" t="s">
        <v>130</v>
      </c>
      <c r="P169" s="83" t="s">
        <v>127</v>
      </c>
      <c r="Q169" s="42"/>
    </row>
    <row r="170" spans="1:19" ht="67.5" x14ac:dyDescent="0.2">
      <c r="A170" s="8"/>
      <c r="B170" s="75" t="s">
        <v>131</v>
      </c>
      <c r="C170" s="39">
        <f t="shared" si="30"/>
        <v>4.5999999999999996</v>
      </c>
      <c r="D170" s="38">
        <v>4.5999999999999996</v>
      </c>
      <c r="E170" s="38"/>
      <c r="F170" s="39">
        <f t="shared" si="31"/>
        <v>4.5999999999999996</v>
      </c>
      <c r="G170" s="38">
        <v>4.5999999999999996</v>
      </c>
      <c r="H170" s="38"/>
      <c r="I170" s="39">
        <f t="shared" si="32"/>
        <v>4.5999999999999996</v>
      </c>
      <c r="J170" s="38">
        <v>4.5999999999999996</v>
      </c>
      <c r="K170" s="6"/>
      <c r="L170" s="93">
        <f t="shared" si="29"/>
        <v>100</v>
      </c>
      <c r="M170" s="93"/>
      <c r="N170" s="23" t="s">
        <v>411</v>
      </c>
      <c r="O170" s="15" t="s">
        <v>132</v>
      </c>
      <c r="P170" s="5" t="s">
        <v>133</v>
      </c>
      <c r="Q170" s="42"/>
    </row>
    <row r="171" spans="1:19" ht="56.25" x14ac:dyDescent="0.2">
      <c r="A171" s="8"/>
      <c r="B171" s="60" t="s">
        <v>214</v>
      </c>
      <c r="C171" s="39">
        <f t="shared" si="30"/>
        <v>1</v>
      </c>
      <c r="D171" s="38">
        <v>1</v>
      </c>
      <c r="E171" s="38"/>
      <c r="F171" s="39">
        <f t="shared" si="31"/>
        <v>4.8840000000000003</v>
      </c>
      <c r="G171" s="38">
        <v>4.8840000000000003</v>
      </c>
      <c r="H171" s="38"/>
      <c r="I171" s="39">
        <f t="shared" si="32"/>
        <v>0.39600000000000002</v>
      </c>
      <c r="J171" s="38">
        <v>0.39600000000000002</v>
      </c>
      <c r="K171" s="6"/>
      <c r="L171" s="93">
        <f t="shared" ref="L171:L204" si="33">I171/C171%</f>
        <v>39.6</v>
      </c>
      <c r="M171" s="93"/>
      <c r="N171" s="23" t="s">
        <v>394</v>
      </c>
      <c r="O171" s="15" t="s">
        <v>216</v>
      </c>
      <c r="P171" s="37" t="s">
        <v>215</v>
      </c>
      <c r="Q171" s="42"/>
    </row>
    <row r="172" spans="1:19" ht="45" x14ac:dyDescent="0.2">
      <c r="A172" s="8"/>
      <c r="B172" s="75" t="s">
        <v>217</v>
      </c>
      <c r="C172" s="39">
        <f t="shared" si="30"/>
        <v>1.1227499999999999</v>
      </c>
      <c r="D172" s="38">
        <v>1.1227499999999999</v>
      </c>
      <c r="E172" s="38"/>
      <c r="F172" s="39">
        <f t="shared" si="31"/>
        <v>1.1227499999999999</v>
      </c>
      <c r="G172" s="38">
        <v>1.1227499999999999</v>
      </c>
      <c r="H172" s="38"/>
      <c r="I172" s="39">
        <f t="shared" si="32"/>
        <v>1.1227499999999999</v>
      </c>
      <c r="J172" s="38">
        <v>1.1227499999999999</v>
      </c>
      <c r="K172" s="6"/>
      <c r="L172" s="93">
        <f t="shared" si="33"/>
        <v>100</v>
      </c>
      <c r="M172" s="93">
        <v>100</v>
      </c>
      <c r="N172" s="23" t="s">
        <v>219</v>
      </c>
      <c r="O172" s="15" t="s">
        <v>218</v>
      </c>
      <c r="P172" s="37" t="s">
        <v>312</v>
      </c>
      <c r="Q172" s="42"/>
    </row>
    <row r="173" spans="1:19" ht="45" x14ac:dyDescent="0.2">
      <c r="A173" s="8"/>
      <c r="B173" s="71" t="s">
        <v>289</v>
      </c>
      <c r="C173" s="39">
        <f t="shared" si="30"/>
        <v>331.2518</v>
      </c>
      <c r="D173" s="38">
        <v>30.351800000000001</v>
      </c>
      <c r="E173" s="38">
        <v>300.89999999999998</v>
      </c>
      <c r="F173" s="39">
        <f t="shared" si="31"/>
        <v>546.46810000000005</v>
      </c>
      <c r="G173" s="38">
        <v>34.579099999999997</v>
      </c>
      <c r="H173" s="38">
        <v>511.88900000000001</v>
      </c>
      <c r="I173" s="39">
        <f t="shared" si="32"/>
        <v>0</v>
      </c>
      <c r="J173" s="38"/>
      <c r="K173" s="6"/>
      <c r="L173" s="93">
        <f t="shared" si="33"/>
        <v>0</v>
      </c>
      <c r="M173" s="93">
        <v>20</v>
      </c>
      <c r="N173" s="20" t="s">
        <v>314</v>
      </c>
      <c r="O173" s="15" t="s">
        <v>220</v>
      </c>
      <c r="P173" s="83" t="s">
        <v>313</v>
      </c>
      <c r="Q173" s="42"/>
    </row>
    <row r="174" spans="1:19" ht="36" customHeight="1" x14ac:dyDescent="0.2">
      <c r="A174" s="8"/>
      <c r="B174" s="71" t="s">
        <v>315</v>
      </c>
      <c r="C174" s="39">
        <f t="shared" si="30"/>
        <v>0</v>
      </c>
      <c r="D174" s="6"/>
      <c r="E174" s="6"/>
      <c r="F174" s="39">
        <f t="shared" si="31"/>
        <v>20</v>
      </c>
      <c r="G174" s="6">
        <v>20</v>
      </c>
      <c r="H174" s="6"/>
      <c r="I174" s="39">
        <f t="shared" si="32"/>
        <v>0</v>
      </c>
      <c r="J174" s="6"/>
      <c r="K174" s="6"/>
      <c r="L174" s="93" t="e">
        <f t="shared" si="33"/>
        <v>#DIV/0!</v>
      </c>
      <c r="M174" s="93"/>
      <c r="N174" s="20" t="s">
        <v>316</v>
      </c>
      <c r="O174" s="24" t="s">
        <v>221</v>
      </c>
      <c r="P174" s="40" t="s">
        <v>297</v>
      </c>
      <c r="Q174" s="42"/>
    </row>
    <row r="175" spans="1:19" ht="56.25" x14ac:dyDescent="0.2">
      <c r="A175" s="8"/>
      <c r="B175" s="60" t="s">
        <v>395</v>
      </c>
      <c r="C175" s="39">
        <f t="shared" si="30"/>
        <v>2</v>
      </c>
      <c r="D175" s="6">
        <v>2</v>
      </c>
      <c r="E175" s="6"/>
      <c r="F175" s="39">
        <f t="shared" si="31"/>
        <v>7.548</v>
      </c>
      <c r="G175" s="6">
        <v>7.548</v>
      </c>
      <c r="H175" s="6"/>
      <c r="I175" s="39">
        <f t="shared" si="32"/>
        <v>0</v>
      </c>
      <c r="J175" s="6"/>
      <c r="K175" s="6"/>
      <c r="L175" s="93">
        <f t="shared" si="33"/>
        <v>0</v>
      </c>
      <c r="M175" s="93"/>
      <c r="N175" s="20" t="s">
        <v>396</v>
      </c>
      <c r="O175" s="24" t="s">
        <v>222</v>
      </c>
      <c r="P175" s="5" t="s">
        <v>397</v>
      </c>
      <c r="Q175" s="42"/>
    </row>
    <row r="176" spans="1:19" ht="45" x14ac:dyDescent="0.2">
      <c r="A176" s="8"/>
      <c r="B176" s="141" t="s">
        <v>321</v>
      </c>
      <c r="C176" s="39">
        <f t="shared" si="30"/>
        <v>150</v>
      </c>
      <c r="D176" s="6">
        <v>150</v>
      </c>
      <c r="E176" s="6"/>
      <c r="F176" s="39">
        <f t="shared" si="31"/>
        <v>249.34854000000001</v>
      </c>
      <c r="G176" s="6">
        <v>249.34854000000001</v>
      </c>
      <c r="H176" s="6"/>
      <c r="I176" s="39">
        <f t="shared" si="32"/>
        <v>0</v>
      </c>
      <c r="J176" s="6"/>
      <c r="K176" s="6"/>
      <c r="L176" s="93">
        <f t="shared" si="33"/>
        <v>0</v>
      </c>
      <c r="M176" s="93">
        <v>55</v>
      </c>
      <c r="N176" s="20" t="s">
        <v>319</v>
      </c>
      <c r="O176" s="20">
        <v>127</v>
      </c>
      <c r="P176" s="53" t="s">
        <v>320</v>
      </c>
      <c r="Q176" s="42"/>
    </row>
    <row r="177" spans="1:18" ht="25.5" customHeight="1" x14ac:dyDescent="0.2">
      <c r="A177" s="8"/>
      <c r="B177" s="71" t="s">
        <v>317</v>
      </c>
      <c r="C177" s="39">
        <f t="shared" si="30"/>
        <v>5</v>
      </c>
      <c r="D177" s="6">
        <v>5</v>
      </c>
      <c r="E177" s="6"/>
      <c r="F177" s="39">
        <f t="shared" si="31"/>
        <v>28</v>
      </c>
      <c r="G177" s="6">
        <v>28</v>
      </c>
      <c r="H177" s="6"/>
      <c r="I177" s="39">
        <f t="shared" si="32"/>
        <v>0</v>
      </c>
      <c r="J177" s="6"/>
      <c r="K177" s="6"/>
      <c r="L177" s="93">
        <f t="shared" si="33"/>
        <v>0</v>
      </c>
      <c r="M177" s="93"/>
      <c r="N177" s="20" t="s">
        <v>318</v>
      </c>
      <c r="O177" s="24" t="s">
        <v>189</v>
      </c>
      <c r="P177" s="5" t="s">
        <v>300</v>
      </c>
      <c r="Q177" s="42"/>
    </row>
    <row r="178" spans="1:18" x14ac:dyDescent="0.2">
      <c r="A178" s="8"/>
      <c r="B178" s="71" t="s">
        <v>290</v>
      </c>
      <c r="C178" s="39">
        <f t="shared" si="30"/>
        <v>7.9000000000000001E-4</v>
      </c>
      <c r="D178" s="6"/>
      <c r="E178" s="6">
        <v>7.9000000000000001E-4</v>
      </c>
      <c r="F178" s="39">
        <f t="shared" si="31"/>
        <v>0</v>
      </c>
      <c r="G178" s="6"/>
      <c r="H178" s="6"/>
      <c r="I178" s="39">
        <f t="shared" si="32"/>
        <v>0</v>
      </c>
      <c r="J178" s="6"/>
      <c r="K178" s="6"/>
      <c r="L178" s="93">
        <f t="shared" si="33"/>
        <v>0</v>
      </c>
      <c r="M178" s="93"/>
      <c r="N178" s="20"/>
      <c r="O178" s="24"/>
      <c r="P178" s="5"/>
      <c r="Q178" s="42"/>
    </row>
    <row r="179" spans="1:18" x14ac:dyDescent="0.2">
      <c r="A179" s="8"/>
      <c r="B179" s="76"/>
      <c r="C179" s="39">
        <f t="shared" si="30"/>
        <v>12.300549999999999</v>
      </c>
      <c r="D179" s="6">
        <v>12.300549999999999</v>
      </c>
      <c r="E179" s="6"/>
      <c r="F179" s="39">
        <f t="shared" si="31"/>
        <v>0</v>
      </c>
      <c r="G179" s="6"/>
      <c r="H179" s="6"/>
      <c r="I179" s="39">
        <f t="shared" si="32"/>
        <v>0</v>
      </c>
      <c r="J179" s="6"/>
      <c r="K179" s="6"/>
      <c r="L179" s="93">
        <f t="shared" si="33"/>
        <v>0</v>
      </c>
      <c r="M179" s="93"/>
      <c r="N179" s="20"/>
      <c r="O179" s="24"/>
      <c r="P179" s="5"/>
      <c r="Q179" s="42"/>
    </row>
    <row r="180" spans="1:18" x14ac:dyDescent="0.2">
      <c r="A180" s="97"/>
      <c r="B180" s="17" t="s">
        <v>15</v>
      </c>
      <c r="C180" s="39">
        <f t="shared" si="30"/>
        <v>1068.9250500000003</v>
      </c>
      <c r="D180" s="38">
        <f>SUM(D165:D179)</f>
        <v>528.96300000000008</v>
      </c>
      <c r="E180" s="38">
        <f>SUM(E165:E179)</f>
        <v>539.96205000000009</v>
      </c>
      <c r="F180" s="39">
        <f t="shared" si="31"/>
        <v>1519.85322</v>
      </c>
      <c r="G180" s="38">
        <f>SUM(G165:G179)</f>
        <v>768.90296000000001</v>
      </c>
      <c r="H180" s="38">
        <f>SUM(H165:H179)</f>
        <v>750.95026000000007</v>
      </c>
      <c r="I180" s="39">
        <f t="shared" si="32"/>
        <v>323.50231999999994</v>
      </c>
      <c r="J180" s="38">
        <f>SUM(J165:J179)</f>
        <v>201.81291999999996</v>
      </c>
      <c r="K180" s="38">
        <f>SUM(K165:K179)</f>
        <v>121.68940000000001</v>
      </c>
      <c r="L180" s="93">
        <f t="shared" si="33"/>
        <v>30.264265955784257</v>
      </c>
      <c r="M180" s="93"/>
      <c r="N180" s="8"/>
      <c r="O180" s="6"/>
      <c r="P180" s="94"/>
      <c r="Q180" s="43"/>
      <c r="R180" s="87"/>
    </row>
    <row r="181" spans="1:18" x14ac:dyDescent="0.2">
      <c r="A181" s="97"/>
      <c r="B181" s="17"/>
      <c r="C181" s="39"/>
      <c r="D181" s="38"/>
      <c r="E181" s="38"/>
      <c r="F181" s="39"/>
      <c r="G181" s="38"/>
      <c r="H181" s="38"/>
      <c r="I181" s="39"/>
      <c r="J181" s="38"/>
      <c r="K181" s="38"/>
      <c r="L181" s="93"/>
      <c r="M181" s="93"/>
      <c r="N181" s="8"/>
      <c r="O181" s="94"/>
      <c r="P181" s="94"/>
      <c r="Q181" s="43"/>
      <c r="R181" s="98"/>
    </row>
    <row r="182" spans="1:18" ht="67.5" x14ac:dyDescent="0.2">
      <c r="A182" s="97" t="s">
        <v>48</v>
      </c>
      <c r="B182" s="17" t="s">
        <v>49</v>
      </c>
      <c r="C182" s="39"/>
      <c r="D182" s="89"/>
      <c r="E182" s="89"/>
      <c r="F182" s="39"/>
      <c r="G182" s="7"/>
      <c r="H182" s="90"/>
      <c r="I182" s="39"/>
      <c r="J182" s="7"/>
      <c r="K182" s="7"/>
      <c r="L182" s="93"/>
      <c r="M182" s="93"/>
      <c r="N182" s="91"/>
      <c r="O182" s="91"/>
      <c r="P182" s="91"/>
      <c r="Q182" s="42"/>
      <c r="R182" s="87"/>
    </row>
    <row r="183" spans="1:18" ht="45" x14ac:dyDescent="0.2">
      <c r="A183" s="8" t="s">
        <v>292</v>
      </c>
      <c r="B183" s="75" t="s">
        <v>325</v>
      </c>
      <c r="C183" s="39">
        <f t="shared" si="30"/>
        <v>32.64602</v>
      </c>
      <c r="D183" s="7"/>
      <c r="E183" s="6">
        <v>32.64602</v>
      </c>
      <c r="F183" s="39">
        <f t="shared" si="31"/>
        <v>32.64602</v>
      </c>
      <c r="G183" s="7"/>
      <c r="H183" s="6">
        <v>32.64602</v>
      </c>
      <c r="I183" s="39">
        <f t="shared" si="32"/>
        <v>32.64602</v>
      </c>
      <c r="J183" s="6"/>
      <c r="K183" s="6">
        <v>32.64602</v>
      </c>
      <c r="L183" s="93">
        <f t="shared" si="33"/>
        <v>100</v>
      </c>
      <c r="M183" s="93"/>
      <c r="N183" s="33" t="s">
        <v>162</v>
      </c>
      <c r="O183" s="34">
        <v>19</v>
      </c>
      <c r="P183" s="82" t="s">
        <v>134</v>
      </c>
      <c r="Q183" s="42"/>
      <c r="R183" s="87"/>
    </row>
    <row r="184" spans="1:18" ht="45" x14ac:dyDescent="0.2">
      <c r="A184" s="8"/>
      <c r="B184" s="75" t="s">
        <v>323</v>
      </c>
      <c r="C184" s="39">
        <f t="shared" si="30"/>
        <v>70.052170000000004</v>
      </c>
      <c r="D184" s="7"/>
      <c r="E184" s="38">
        <v>70.052170000000004</v>
      </c>
      <c r="F184" s="39">
        <f t="shared" si="31"/>
        <v>70.052170000000004</v>
      </c>
      <c r="G184" s="7"/>
      <c r="H184" s="38">
        <v>70.052170000000004</v>
      </c>
      <c r="I184" s="39">
        <f t="shared" si="32"/>
        <v>14.8048</v>
      </c>
      <c r="J184" s="6"/>
      <c r="K184" s="6">
        <v>14.8048</v>
      </c>
      <c r="L184" s="93">
        <f t="shared" si="33"/>
        <v>21.133963444672734</v>
      </c>
      <c r="M184" s="93">
        <v>100</v>
      </c>
      <c r="N184" s="20" t="s">
        <v>322</v>
      </c>
      <c r="O184" s="24" t="s">
        <v>135</v>
      </c>
      <c r="P184" s="56" t="s">
        <v>238</v>
      </c>
      <c r="Q184" s="42"/>
      <c r="R184" s="87"/>
    </row>
    <row r="185" spans="1:18" ht="45" x14ac:dyDescent="0.2">
      <c r="A185" s="8" t="s">
        <v>257</v>
      </c>
      <c r="B185" s="75" t="s">
        <v>324</v>
      </c>
      <c r="C185" s="39">
        <f t="shared" si="30"/>
        <v>104.14041</v>
      </c>
      <c r="D185" s="38"/>
      <c r="E185" s="38">
        <v>104.14041</v>
      </c>
      <c r="F185" s="39">
        <f t="shared" si="31"/>
        <v>104.14041</v>
      </c>
      <c r="G185" s="142"/>
      <c r="H185" s="38">
        <v>104.14041</v>
      </c>
      <c r="I185" s="39">
        <f t="shared" si="32"/>
        <v>46.397689999999997</v>
      </c>
      <c r="J185" s="6"/>
      <c r="K185" s="38">
        <f>25.05542+21.34227</f>
        <v>46.397689999999997</v>
      </c>
      <c r="L185" s="93">
        <f t="shared" si="33"/>
        <v>44.553012610570669</v>
      </c>
      <c r="M185" s="93"/>
      <c r="N185" s="143" t="s">
        <v>305</v>
      </c>
      <c r="O185" s="11" t="s">
        <v>223</v>
      </c>
      <c r="P185" s="82" t="s">
        <v>134</v>
      </c>
      <c r="Q185" s="43"/>
      <c r="R185" s="98"/>
    </row>
    <row r="186" spans="1:18" x14ac:dyDescent="0.2">
      <c r="A186" s="8"/>
      <c r="B186" s="82" t="s">
        <v>291</v>
      </c>
      <c r="C186" s="39">
        <f t="shared" si="30"/>
        <v>78.764200000000002</v>
      </c>
      <c r="D186" s="6"/>
      <c r="E186" s="6">
        <v>78.764200000000002</v>
      </c>
      <c r="F186" s="39">
        <f t="shared" si="31"/>
        <v>0</v>
      </c>
      <c r="G186" s="6"/>
      <c r="H186" s="6"/>
      <c r="I186" s="39">
        <f t="shared" si="32"/>
        <v>0</v>
      </c>
      <c r="J186" s="6"/>
      <c r="K186" s="6"/>
      <c r="L186" s="93">
        <f t="shared" si="33"/>
        <v>0</v>
      </c>
      <c r="M186" s="93"/>
      <c r="N186" s="143"/>
      <c r="O186" s="11"/>
      <c r="P186" s="82"/>
      <c r="Q186" s="42"/>
      <c r="R186" s="98"/>
    </row>
    <row r="187" spans="1:18" x14ac:dyDescent="0.2">
      <c r="A187" s="8"/>
      <c r="B187" s="82" t="s">
        <v>293</v>
      </c>
      <c r="C187" s="39">
        <f t="shared" si="30"/>
        <v>3.97262</v>
      </c>
      <c r="D187" s="6"/>
      <c r="E187" s="6">
        <v>3.97262</v>
      </c>
      <c r="F187" s="39">
        <f t="shared" si="31"/>
        <v>0</v>
      </c>
      <c r="G187" s="6"/>
      <c r="H187" s="38"/>
      <c r="I187" s="39">
        <f t="shared" si="32"/>
        <v>0</v>
      </c>
      <c r="J187" s="6"/>
      <c r="K187" s="6"/>
      <c r="L187" s="93">
        <f t="shared" si="33"/>
        <v>0</v>
      </c>
      <c r="M187" s="93"/>
      <c r="N187" s="143"/>
      <c r="O187" s="11"/>
      <c r="P187" s="82"/>
      <c r="Q187" s="43"/>
      <c r="R187" s="98"/>
    </row>
    <row r="188" spans="1:18" x14ac:dyDescent="0.2">
      <c r="A188" s="97"/>
      <c r="B188" s="17" t="s">
        <v>15</v>
      </c>
      <c r="C188" s="39">
        <f t="shared" si="30"/>
        <v>289.57542000000001</v>
      </c>
      <c r="D188" s="7">
        <f>SUM(D183:D187)</f>
        <v>0</v>
      </c>
      <c r="E188" s="7">
        <f>SUM(E183:E187)</f>
        <v>289.57542000000001</v>
      </c>
      <c r="F188" s="39">
        <f t="shared" si="31"/>
        <v>206.83860000000001</v>
      </c>
      <c r="G188" s="7">
        <f>SUM(G183:G187)</f>
        <v>0</v>
      </c>
      <c r="H188" s="7">
        <f>SUM(H183:H187)</f>
        <v>206.83860000000001</v>
      </c>
      <c r="I188" s="39">
        <f t="shared" si="32"/>
        <v>93.848510000000005</v>
      </c>
      <c r="J188" s="7">
        <f>SUM(J183:J187)</f>
        <v>0</v>
      </c>
      <c r="K188" s="7">
        <f>SUM(K183:K187)</f>
        <v>93.848510000000005</v>
      </c>
      <c r="L188" s="93">
        <f t="shared" si="33"/>
        <v>32.409004189651178</v>
      </c>
      <c r="M188" s="93"/>
      <c r="N188" s="8"/>
      <c r="O188" s="94"/>
      <c r="P188" s="94"/>
      <c r="Q188" s="42"/>
      <c r="R188" s="87"/>
    </row>
    <row r="189" spans="1:18" x14ac:dyDescent="0.2">
      <c r="A189" s="97"/>
      <c r="B189" s="17"/>
      <c r="C189" s="39"/>
      <c r="D189" s="7"/>
      <c r="E189" s="7"/>
      <c r="F189" s="39"/>
      <c r="G189" s="7"/>
      <c r="H189" s="7"/>
      <c r="I189" s="39"/>
      <c r="J189" s="7"/>
      <c r="K189" s="7"/>
      <c r="L189" s="93"/>
      <c r="M189" s="93"/>
      <c r="N189" s="8"/>
      <c r="O189" s="94"/>
      <c r="P189" s="94"/>
      <c r="Q189" s="42"/>
      <c r="R189" s="98"/>
    </row>
    <row r="190" spans="1:18" ht="67.5" x14ac:dyDescent="0.2">
      <c r="A190" s="97" t="s">
        <v>50</v>
      </c>
      <c r="B190" s="17" t="s">
        <v>51</v>
      </c>
      <c r="C190" s="39"/>
      <c r="D190" s="89"/>
      <c r="E190" s="89"/>
      <c r="F190" s="39"/>
      <c r="G190" s="7"/>
      <c r="H190" s="90"/>
      <c r="I190" s="39"/>
      <c r="J190" s="7"/>
      <c r="K190" s="7"/>
      <c r="L190" s="93"/>
      <c r="M190" s="93"/>
      <c r="N190" s="91"/>
      <c r="O190" s="91"/>
      <c r="P190" s="91"/>
      <c r="Q190" s="42"/>
      <c r="R190" s="87"/>
    </row>
    <row r="191" spans="1:18" ht="44.25" customHeight="1" x14ac:dyDescent="0.2">
      <c r="A191" s="8"/>
      <c r="B191" s="75" t="s">
        <v>136</v>
      </c>
      <c r="C191" s="39">
        <f t="shared" si="30"/>
        <v>11.99122</v>
      </c>
      <c r="D191" s="117">
        <v>11.99122</v>
      </c>
      <c r="E191" s="6"/>
      <c r="F191" s="39">
        <f t="shared" si="31"/>
        <v>0</v>
      </c>
      <c r="G191" s="117"/>
      <c r="H191" s="101"/>
      <c r="I191" s="39">
        <f t="shared" si="32"/>
        <v>11.99122</v>
      </c>
      <c r="J191" s="117">
        <v>11.99122</v>
      </c>
      <c r="K191" s="6"/>
      <c r="L191" s="93"/>
      <c r="M191" s="173" t="s">
        <v>415</v>
      </c>
      <c r="N191" s="152" t="s">
        <v>163</v>
      </c>
      <c r="O191" s="157" t="s">
        <v>140</v>
      </c>
      <c r="P191" s="159" t="s">
        <v>141</v>
      </c>
      <c r="Q191" s="160" t="s">
        <v>356</v>
      </c>
      <c r="R191" s="87"/>
    </row>
    <row r="192" spans="1:18" ht="33.75" x14ac:dyDescent="0.2">
      <c r="A192" s="8"/>
      <c r="B192" s="75" t="s">
        <v>139</v>
      </c>
      <c r="C192" s="39">
        <f t="shared" si="30"/>
        <v>20.773</v>
      </c>
      <c r="D192" s="6">
        <v>20.773</v>
      </c>
      <c r="E192" s="6"/>
      <c r="F192" s="39">
        <f t="shared" si="31"/>
        <v>342.24934999999999</v>
      </c>
      <c r="G192" s="7">
        <v>342.24934999999999</v>
      </c>
      <c r="H192" s="6"/>
      <c r="I192" s="39">
        <f t="shared" si="32"/>
        <v>3.7879999999999998</v>
      </c>
      <c r="J192" s="6">
        <v>3.7879999999999998</v>
      </c>
      <c r="K192" s="6"/>
      <c r="L192" s="93">
        <f t="shared" si="33"/>
        <v>18.235209165743996</v>
      </c>
      <c r="M192" s="174"/>
      <c r="N192" s="153"/>
      <c r="O192" s="158"/>
      <c r="P192" s="159"/>
      <c r="Q192" s="160"/>
      <c r="R192" s="87"/>
    </row>
    <row r="193" spans="1:18" ht="45" x14ac:dyDescent="0.2">
      <c r="A193" s="8"/>
      <c r="B193" s="75" t="s">
        <v>137</v>
      </c>
      <c r="C193" s="39">
        <f t="shared" si="30"/>
        <v>0</v>
      </c>
      <c r="D193" s="6"/>
      <c r="E193" s="7"/>
      <c r="F193" s="39">
        <f t="shared" si="31"/>
        <v>0</v>
      </c>
      <c r="G193" s="6"/>
      <c r="H193" s="7"/>
      <c r="I193" s="39">
        <f t="shared" si="32"/>
        <v>7.7099799999999998</v>
      </c>
      <c r="J193" s="6">
        <v>7.7099799999999998</v>
      </c>
      <c r="K193" s="6"/>
      <c r="L193" s="93"/>
      <c r="M193" s="80"/>
      <c r="N193" s="152" t="s">
        <v>164</v>
      </c>
      <c r="O193" s="152" t="s">
        <v>142</v>
      </c>
      <c r="P193" s="161" t="s">
        <v>143</v>
      </c>
      <c r="Q193" s="42"/>
      <c r="R193" s="87"/>
    </row>
    <row r="194" spans="1:18" ht="51" customHeight="1" x14ac:dyDescent="0.2">
      <c r="A194" s="8"/>
      <c r="B194" s="75" t="s">
        <v>138</v>
      </c>
      <c r="C194" s="39">
        <f t="shared" si="30"/>
        <v>50.683039999999998</v>
      </c>
      <c r="D194" s="6">
        <v>50.683039999999998</v>
      </c>
      <c r="E194" s="7"/>
      <c r="F194" s="39">
        <f t="shared" si="31"/>
        <v>82.021019999999993</v>
      </c>
      <c r="G194" s="6">
        <v>82.021019999999993</v>
      </c>
      <c r="H194" s="7"/>
      <c r="I194" s="39">
        <f t="shared" si="32"/>
        <v>40.551409999999997</v>
      </c>
      <c r="J194" s="6">
        <v>40.551409999999997</v>
      </c>
      <c r="K194" s="6"/>
      <c r="L194" s="93">
        <f>I193+I194/C194%</f>
        <v>87.719801825999383</v>
      </c>
      <c r="M194" s="81">
        <v>100</v>
      </c>
      <c r="N194" s="153"/>
      <c r="O194" s="153"/>
      <c r="P194" s="161"/>
      <c r="Q194" s="42" t="s">
        <v>357</v>
      </c>
    </row>
    <row r="195" spans="1:18" ht="67.5" x14ac:dyDescent="0.2">
      <c r="A195" s="8"/>
      <c r="B195" s="75" t="s">
        <v>224</v>
      </c>
      <c r="C195" s="39">
        <f t="shared" si="30"/>
        <v>1</v>
      </c>
      <c r="D195" s="6">
        <v>1</v>
      </c>
      <c r="E195" s="7"/>
      <c r="F195" s="39">
        <f t="shared" si="31"/>
        <v>1</v>
      </c>
      <c r="G195" s="7">
        <v>1</v>
      </c>
      <c r="H195" s="101"/>
      <c r="I195" s="39">
        <f t="shared" si="32"/>
        <v>0.55374999999999996</v>
      </c>
      <c r="J195" s="6">
        <v>0.55374999999999996</v>
      </c>
      <c r="K195" s="6"/>
      <c r="L195" s="93">
        <f t="shared" si="33"/>
        <v>55.374999999999993</v>
      </c>
      <c r="M195" s="93"/>
      <c r="N195" s="20" t="s">
        <v>409</v>
      </c>
      <c r="O195" s="144" t="s">
        <v>195</v>
      </c>
      <c r="P195" s="37" t="s">
        <v>196</v>
      </c>
      <c r="Q195" s="42"/>
    </row>
    <row r="196" spans="1:18" ht="56.25" x14ac:dyDescent="0.2">
      <c r="A196" s="8"/>
      <c r="B196" s="75" t="s">
        <v>225</v>
      </c>
      <c r="C196" s="39">
        <f t="shared" si="30"/>
        <v>0.75</v>
      </c>
      <c r="D196" s="6">
        <v>0.75</v>
      </c>
      <c r="E196" s="7"/>
      <c r="F196" s="39">
        <f t="shared" si="31"/>
        <v>0.75</v>
      </c>
      <c r="G196" s="6">
        <v>0.75</v>
      </c>
      <c r="H196" s="101"/>
      <c r="I196" s="39">
        <f t="shared" si="32"/>
        <v>0.75</v>
      </c>
      <c r="J196" s="6">
        <v>0.75</v>
      </c>
      <c r="K196" s="6"/>
      <c r="L196" s="93">
        <f t="shared" si="33"/>
        <v>100</v>
      </c>
      <c r="M196" s="93"/>
      <c r="N196" s="20" t="s">
        <v>304</v>
      </c>
      <c r="O196" s="20" t="s">
        <v>231</v>
      </c>
      <c r="P196" s="37" t="s">
        <v>229</v>
      </c>
      <c r="Q196" s="42"/>
    </row>
    <row r="197" spans="1:18" ht="45" x14ac:dyDescent="0.2">
      <c r="A197" s="8"/>
      <c r="B197" s="75" t="s">
        <v>226</v>
      </c>
      <c r="C197" s="39">
        <f t="shared" si="30"/>
        <v>0</v>
      </c>
      <c r="D197" s="6"/>
      <c r="E197" s="7"/>
      <c r="F197" s="39">
        <f t="shared" si="31"/>
        <v>0</v>
      </c>
      <c r="G197" s="6"/>
      <c r="H197" s="101"/>
      <c r="I197" s="39">
        <f t="shared" si="32"/>
        <v>4.7923200000000001</v>
      </c>
      <c r="J197" s="6">
        <v>4.7923200000000001</v>
      </c>
      <c r="K197" s="6"/>
      <c r="L197" s="93"/>
      <c r="M197" s="93"/>
      <c r="N197" s="20" t="s">
        <v>232</v>
      </c>
      <c r="O197" s="152">
        <v>55</v>
      </c>
      <c r="P197" s="154" t="s">
        <v>230</v>
      </c>
      <c r="Q197" s="42"/>
    </row>
    <row r="198" spans="1:18" ht="39" customHeight="1" x14ac:dyDescent="0.2">
      <c r="A198" s="8"/>
      <c r="B198" s="75" t="s">
        <v>227</v>
      </c>
      <c r="C198" s="39">
        <f t="shared" si="30"/>
        <v>46.913989999999998</v>
      </c>
      <c r="D198" s="6">
        <v>46.913989999999998</v>
      </c>
      <c r="E198" s="6"/>
      <c r="F198" s="39">
        <f t="shared" si="31"/>
        <v>74.882800000000003</v>
      </c>
      <c r="G198" s="6">
        <v>74.882800000000003</v>
      </c>
      <c r="H198" s="6"/>
      <c r="I198" s="39">
        <f t="shared" si="32"/>
        <v>33.713189999999997</v>
      </c>
      <c r="J198" s="6">
        <v>33.713189999999997</v>
      </c>
      <c r="K198" s="6"/>
      <c r="L198" s="93">
        <f>I197+I198/C198%</f>
        <v>76.654018397428999</v>
      </c>
      <c r="M198" s="93"/>
      <c r="N198" s="20" t="s">
        <v>232</v>
      </c>
      <c r="O198" s="153"/>
      <c r="P198" s="154"/>
      <c r="Q198" s="42" t="s">
        <v>358</v>
      </c>
    </row>
    <row r="199" spans="1:18" ht="67.5" x14ac:dyDescent="0.2">
      <c r="A199" s="8"/>
      <c r="B199" s="75" t="s">
        <v>228</v>
      </c>
      <c r="C199" s="39">
        <f t="shared" si="30"/>
        <v>27.6873</v>
      </c>
      <c r="D199" s="6">
        <v>27.6873</v>
      </c>
      <c r="E199" s="6"/>
      <c r="F199" s="39">
        <f t="shared" si="31"/>
        <v>27.6873</v>
      </c>
      <c r="G199" s="6">
        <v>27.6873</v>
      </c>
      <c r="H199" s="6"/>
      <c r="I199" s="39">
        <f t="shared" si="32"/>
        <v>27.655650000000001</v>
      </c>
      <c r="J199" s="6">
        <v>27.655650000000001</v>
      </c>
      <c r="K199" s="6"/>
      <c r="L199" s="93">
        <f t="shared" si="33"/>
        <v>99.885687661852202</v>
      </c>
      <c r="M199" s="93">
        <v>100</v>
      </c>
      <c r="N199" s="20" t="s">
        <v>303</v>
      </c>
      <c r="O199" s="144" t="s">
        <v>188</v>
      </c>
      <c r="P199" s="37" t="s">
        <v>200</v>
      </c>
      <c r="Q199" s="42"/>
    </row>
    <row r="200" spans="1:18" ht="45.75" customHeight="1" x14ac:dyDescent="0.2">
      <c r="A200" s="8"/>
      <c r="B200" s="34" t="s">
        <v>301</v>
      </c>
      <c r="C200" s="39">
        <f t="shared" ref="C200:C212" si="34">D200+E200</f>
        <v>3.0094700000000003</v>
      </c>
      <c r="D200" s="6">
        <f>5-1.99053</f>
        <v>3.0094700000000003</v>
      </c>
      <c r="E200" s="6"/>
      <c r="F200" s="39">
        <f t="shared" ref="F200:F212" si="35">G200+H200</f>
        <v>31.984000000000002</v>
      </c>
      <c r="G200" s="6">
        <v>31.984000000000002</v>
      </c>
      <c r="H200" s="6"/>
      <c r="I200" s="39">
        <f t="shared" ref="I200:I212" si="36">J200+K200</f>
        <v>0</v>
      </c>
      <c r="J200" s="6"/>
      <c r="K200" s="6"/>
      <c r="L200" s="93">
        <f t="shared" si="33"/>
        <v>0</v>
      </c>
      <c r="M200" s="93"/>
      <c r="N200" s="20" t="s">
        <v>302</v>
      </c>
      <c r="O200" s="21">
        <v>17</v>
      </c>
      <c r="P200" s="5" t="s">
        <v>300</v>
      </c>
      <c r="Q200" s="42"/>
    </row>
    <row r="201" spans="1:18" ht="45" x14ac:dyDescent="0.2">
      <c r="A201" s="8"/>
      <c r="B201" s="34" t="s">
        <v>299</v>
      </c>
      <c r="C201" s="39">
        <f t="shared" si="34"/>
        <v>0</v>
      </c>
      <c r="D201" s="6"/>
      <c r="E201" s="6"/>
      <c r="F201" s="39">
        <f t="shared" si="35"/>
        <v>33.6</v>
      </c>
      <c r="G201" s="6">
        <v>33.6</v>
      </c>
      <c r="H201" s="6"/>
      <c r="I201" s="39">
        <f t="shared" si="36"/>
        <v>0</v>
      </c>
      <c r="J201" s="6"/>
      <c r="K201" s="6"/>
      <c r="L201" s="93" t="e">
        <f t="shared" si="33"/>
        <v>#DIV/0!</v>
      </c>
      <c r="M201" s="93"/>
      <c r="N201" s="91" t="s">
        <v>298</v>
      </c>
      <c r="O201" s="144" t="s">
        <v>221</v>
      </c>
      <c r="P201" s="40" t="s">
        <v>297</v>
      </c>
      <c r="Q201" s="42"/>
    </row>
    <row r="202" spans="1:18" ht="56.25" customHeight="1" x14ac:dyDescent="0.2">
      <c r="A202" s="8"/>
      <c r="B202" s="41" t="s">
        <v>327</v>
      </c>
      <c r="C202" s="39">
        <f t="shared" si="34"/>
        <v>46.913980000000002</v>
      </c>
      <c r="D202" s="6">
        <v>46.913980000000002</v>
      </c>
      <c r="E202" s="6"/>
      <c r="F202" s="39">
        <f t="shared" si="35"/>
        <v>74.882800000000003</v>
      </c>
      <c r="G202" s="6">
        <v>74.882800000000003</v>
      </c>
      <c r="H202" s="6"/>
      <c r="I202" s="39">
        <f t="shared" si="36"/>
        <v>0</v>
      </c>
      <c r="J202" s="6"/>
      <c r="K202" s="6"/>
      <c r="L202" s="93">
        <f t="shared" si="33"/>
        <v>0</v>
      </c>
      <c r="M202" s="95">
        <v>90</v>
      </c>
      <c r="N202" s="20" t="s">
        <v>232</v>
      </c>
      <c r="O202" s="24" t="s">
        <v>233</v>
      </c>
      <c r="P202" s="56" t="s">
        <v>326</v>
      </c>
      <c r="Q202" s="42" t="s">
        <v>359</v>
      </c>
    </row>
    <row r="203" spans="1:18" x14ac:dyDescent="0.2">
      <c r="A203" s="8"/>
      <c r="B203" s="83" t="s">
        <v>294</v>
      </c>
      <c r="C203" s="39">
        <f t="shared" si="34"/>
        <v>8.1259999999999999E-2</v>
      </c>
      <c r="D203" s="6"/>
      <c r="E203" s="6">
        <v>8.1259999999999999E-2</v>
      </c>
      <c r="F203" s="39">
        <f t="shared" si="35"/>
        <v>0</v>
      </c>
      <c r="G203" s="6"/>
      <c r="H203" s="6"/>
      <c r="I203" s="39">
        <f t="shared" si="36"/>
        <v>0</v>
      </c>
      <c r="J203" s="6"/>
      <c r="K203" s="6"/>
      <c r="L203" s="93">
        <f t="shared" si="33"/>
        <v>0</v>
      </c>
      <c r="M203" s="93"/>
      <c r="N203" s="20"/>
      <c r="O203" s="24"/>
      <c r="P203" s="83"/>
      <c r="Q203" s="42"/>
    </row>
    <row r="204" spans="1:18" ht="33.75" x14ac:dyDescent="0.2">
      <c r="A204" s="8"/>
      <c r="B204" s="83" t="s">
        <v>295</v>
      </c>
      <c r="C204" s="39">
        <f t="shared" si="34"/>
        <v>86.904240000000001</v>
      </c>
      <c r="D204" s="6"/>
      <c r="E204" s="6">
        <v>86.904240000000001</v>
      </c>
      <c r="F204" s="39">
        <f t="shared" si="35"/>
        <v>0</v>
      </c>
      <c r="G204" s="6"/>
      <c r="H204" s="6"/>
      <c r="I204" s="39">
        <f t="shared" si="36"/>
        <v>0</v>
      </c>
      <c r="J204" s="6"/>
      <c r="K204" s="6"/>
      <c r="L204" s="93">
        <f t="shared" si="33"/>
        <v>0</v>
      </c>
      <c r="M204" s="93">
        <v>100</v>
      </c>
      <c r="N204" s="20"/>
      <c r="O204" s="24"/>
      <c r="P204" s="5"/>
      <c r="Q204" s="42"/>
    </row>
    <row r="205" spans="1:18" x14ac:dyDescent="0.2">
      <c r="A205" s="35"/>
      <c r="B205" s="83" t="s">
        <v>294</v>
      </c>
      <c r="C205" s="39">
        <f t="shared" ref="C205" si="37">D205+E205</f>
        <v>6.4999999999999997E-4</v>
      </c>
      <c r="D205" s="25"/>
      <c r="E205" s="25">
        <v>6.4999999999999997E-4</v>
      </c>
      <c r="F205" s="39">
        <f t="shared" ref="F205" si="38">G205+H205</f>
        <v>0</v>
      </c>
      <c r="G205" s="25"/>
      <c r="H205" s="25"/>
      <c r="I205" s="39">
        <f t="shared" ref="I205" si="39">J205+K205</f>
        <v>0</v>
      </c>
      <c r="J205" s="25"/>
      <c r="K205" s="25"/>
      <c r="L205" s="93">
        <f t="shared" ref="L205:L212" si="40">I205/C205%</f>
        <v>0</v>
      </c>
      <c r="M205" s="93"/>
      <c r="N205" s="35"/>
      <c r="O205" s="28"/>
      <c r="P205" s="28"/>
      <c r="Q205" s="42"/>
    </row>
    <row r="206" spans="1:18" x14ac:dyDescent="0.2">
      <c r="A206" s="97"/>
      <c r="B206" s="17" t="s">
        <v>15</v>
      </c>
      <c r="C206" s="39">
        <f t="shared" si="34"/>
        <v>296.70814999999999</v>
      </c>
      <c r="D206" s="7">
        <f>SUM(D191:D205)</f>
        <v>209.72199999999998</v>
      </c>
      <c r="E206" s="7">
        <f>SUM(E191:E205)</f>
        <v>86.986149999999995</v>
      </c>
      <c r="F206" s="39">
        <f t="shared" si="35"/>
        <v>669.05727000000002</v>
      </c>
      <c r="G206" s="7">
        <f>SUM(G191:G205)</f>
        <v>669.05727000000002</v>
      </c>
      <c r="H206" s="7">
        <f>SUM(H191:H205)</f>
        <v>0</v>
      </c>
      <c r="I206" s="39">
        <f t="shared" si="36"/>
        <v>131.50551999999999</v>
      </c>
      <c r="J206" s="7">
        <f>SUM(J191:J205)</f>
        <v>131.50551999999999</v>
      </c>
      <c r="K206" s="7">
        <f>SUM(K191:K205)</f>
        <v>0</v>
      </c>
      <c r="L206" s="93">
        <f t="shared" si="40"/>
        <v>44.321505829887045</v>
      </c>
      <c r="M206" s="93"/>
      <c r="N206" s="8"/>
      <c r="O206" s="6"/>
      <c r="P206" s="94"/>
      <c r="Q206" s="43"/>
    </row>
    <row r="207" spans="1:18" x14ac:dyDescent="0.2">
      <c r="A207" s="97"/>
      <c r="B207" s="17"/>
      <c r="C207" s="39"/>
      <c r="D207" s="7"/>
      <c r="E207" s="7"/>
      <c r="F207" s="39"/>
      <c r="G207" s="7"/>
      <c r="H207" s="7"/>
      <c r="I207" s="39"/>
      <c r="J207" s="7"/>
      <c r="K207" s="7"/>
      <c r="L207" s="93"/>
      <c r="M207" s="93"/>
      <c r="N207" s="8"/>
      <c r="O207" s="6"/>
      <c r="P207" s="94"/>
      <c r="Q207" s="43"/>
      <c r="R207" s="98"/>
    </row>
    <row r="208" spans="1:18" ht="67.5" x14ac:dyDescent="0.2">
      <c r="A208" s="97" t="s">
        <v>52</v>
      </c>
      <c r="B208" s="17" t="s">
        <v>53</v>
      </c>
      <c r="C208" s="39"/>
      <c r="D208" s="89"/>
      <c r="E208" s="89"/>
      <c r="F208" s="39"/>
      <c r="G208" s="7"/>
      <c r="H208" s="90"/>
      <c r="I208" s="39"/>
      <c r="J208" s="7"/>
      <c r="K208" s="7"/>
      <c r="L208" s="93"/>
      <c r="M208" s="93"/>
      <c r="N208" s="91"/>
      <c r="O208" s="91"/>
      <c r="P208" s="91"/>
      <c r="Q208" s="42"/>
      <c r="R208" s="87"/>
    </row>
    <row r="209" spans="1:18" x14ac:dyDescent="0.2">
      <c r="A209" s="97"/>
      <c r="B209" s="20" t="s">
        <v>234</v>
      </c>
      <c r="C209" s="39">
        <f t="shared" si="34"/>
        <v>1.5</v>
      </c>
      <c r="D209" s="6">
        <v>1.5</v>
      </c>
      <c r="E209" s="90"/>
      <c r="F209" s="39">
        <f t="shared" si="35"/>
        <v>6</v>
      </c>
      <c r="G209" s="6">
        <v>6</v>
      </c>
      <c r="H209" s="7"/>
      <c r="I209" s="39">
        <f t="shared" si="36"/>
        <v>1.4000000000000001</v>
      </c>
      <c r="J209" s="6">
        <f>0.3136+0.008+0.0784+0.392+0.01+0.098+0.392+0.01+0.098</f>
        <v>1.4000000000000001</v>
      </c>
      <c r="K209" s="7"/>
      <c r="L209" s="93">
        <f t="shared" si="40"/>
        <v>93.333333333333343</v>
      </c>
      <c r="M209" s="93"/>
      <c r="N209" s="91"/>
      <c r="O209" s="91"/>
      <c r="P209" s="94"/>
      <c r="Q209" s="42"/>
      <c r="R209" s="87"/>
    </row>
    <row r="210" spans="1:18" ht="45" x14ac:dyDescent="0.2">
      <c r="A210" s="97"/>
      <c r="B210" s="34" t="s">
        <v>299</v>
      </c>
      <c r="C210" s="39">
        <f t="shared" si="34"/>
        <v>0</v>
      </c>
      <c r="D210" s="6"/>
      <c r="E210" s="90"/>
      <c r="F210" s="39">
        <f t="shared" si="35"/>
        <v>10</v>
      </c>
      <c r="G210" s="6">
        <v>10</v>
      </c>
      <c r="H210" s="7"/>
      <c r="I210" s="39">
        <f t="shared" si="36"/>
        <v>0</v>
      </c>
      <c r="J210" s="6"/>
      <c r="K210" s="7"/>
      <c r="L210" s="93" t="e">
        <f t="shared" si="40"/>
        <v>#DIV/0!</v>
      </c>
      <c r="M210" s="93"/>
      <c r="N210" s="91" t="s">
        <v>298</v>
      </c>
      <c r="O210" s="144" t="s">
        <v>221</v>
      </c>
      <c r="P210" s="40" t="s">
        <v>297</v>
      </c>
      <c r="Q210" s="42"/>
      <c r="R210" s="87"/>
    </row>
    <row r="211" spans="1:18" x14ac:dyDescent="0.2">
      <c r="A211" s="97"/>
      <c r="B211" s="65" t="s">
        <v>296</v>
      </c>
      <c r="C211" s="39">
        <f t="shared" si="34"/>
        <v>1.23E-3</v>
      </c>
      <c r="D211" s="6"/>
      <c r="E211" s="90">
        <v>1.23E-3</v>
      </c>
      <c r="F211" s="39">
        <f t="shared" si="35"/>
        <v>0</v>
      </c>
      <c r="G211" s="6"/>
      <c r="H211" s="7"/>
      <c r="I211" s="39">
        <f t="shared" si="36"/>
        <v>0</v>
      </c>
      <c r="J211" s="6"/>
      <c r="K211" s="7"/>
      <c r="L211" s="93">
        <f t="shared" si="40"/>
        <v>0</v>
      </c>
      <c r="M211" s="93"/>
      <c r="N211" s="91"/>
      <c r="O211" s="145"/>
      <c r="P211" s="5"/>
      <c r="Q211" s="42"/>
      <c r="R211" s="87"/>
    </row>
    <row r="212" spans="1:18" x14ac:dyDescent="0.2">
      <c r="A212" s="8"/>
      <c r="B212" s="17" t="s">
        <v>15</v>
      </c>
      <c r="C212" s="39">
        <f t="shared" si="34"/>
        <v>1.5012300000000001</v>
      </c>
      <c r="D212" s="7">
        <f>SUM(D209:D211)</f>
        <v>1.5</v>
      </c>
      <c r="E212" s="7">
        <f>SUM(E209:E211)</f>
        <v>1.23E-3</v>
      </c>
      <c r="F212" s="39">
        <f t="shared" si="35"/>
        <v>16</v>
      </c>
      <c r="G212" s="7">
        <f>SUM(G209:G211)</f>
        <v>16</v>
      </c>
      <c r="H212" s="7">
        <f>SUM(H209:H211)</f>
        <v>0</v>
      </c>
      <c r="I212" s="39">
        <f t="shared" si="36"/>
        <v>1.4000000000000001</v>
      </c>
      <c r="J212" s="7">
        <f>SUM(J209:J211)</f>
        <v>1.4000000000000001</v>
      </c>
      <c r="K212" s="7">
        <f>SUM(K209:K211)</f>
        <v>0</v>
      </c>
      <c r="L212" s="93">
        <f t="shared" si="40"/>
        <v>93.256862705914486</v>
      </c>
      <c r="M212" s="93"/>
      <c r="N212" s="8"/>
      <c r="O212" s="94"/>
      <c r="P212" s="94"/>
      <c r="Q212" s="42"/>
      <c r="R212" s="87"/>
    </row>
    <row r="213" spans="1:18" x14ac:dyDescent="0.2">
      <c r="A213" s="150"/>
      <c r="B213" s="146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51"/>
      <c r="R213" s="87"/>
    </row>
  </sheetData>
  <mergeCells count="41">
    <mergeCell ref="M191:M192"/>
    <mergeCell ref="N89:N92"/>
    <mergeCell ref="O89:O92"/>
    <mergeCell ref="P89:P92"/>
    <mergeCell ref="O83:O85"/>
    <mergeCell ref="P83:P85"/>
    <mergeCell ref="N86:N87"/>
    <mergeCell ref="O86:O87"/>
    <mergeCell ref="P86:P87"/>
    <mergeCell ref="C1:K1"/>
    <mergeCell ref="N15:N16"/>
    <mergeCell ref="O15:O16"/>
    <mergeCell ref="P15:P16"/>
    <mergeCell ref="N83:N84"/>
    <mergeCell ref="N77:N78"/>
    <mergeCell ref="O77:O78"/>
    <mergeCell ref="P77:P78"/>
    <mergeCell ref="O80:O81"/>
    <mergeCell ref="N80:N81"/>
    <mergeCell ref="P80:P81"/>
    <mergeCell ref="Q191:Q192"/>
    <mergeCell ref="N193:N194"/>
    <mergeCell ref="O193:O194"/>
    <mergeCell ref="P193:P194"/>
    <mergeCell ref="P93:P97"/>
    <mergeCell ref="O103:O104"/>
    <mergeCell ref="N103:N104"/>
    <mergeCell ref="O101:O102"/>
    <mergeCell ref="N101:N102"/>
    <mergeCell ref="P101:P102"/>
    <mergeCell ref="N99:N100"/>
    <mergeCell ref="O99:O100"/>
    <mergeCell ref="P99:P100"/>
    <mergeCell ref="N93:N97"/>
    <mergeCell ref="O93:O97"/>
    <mergeCell ref="O197:O198"/>
    <mergeCell ref="P197:P198"/>
    <mergeCell ref="P103:P104"/>
    <mergeCell ref="N191:N192"/>
    <mergeCell ref="O191:O192"/>
    <mergeCell ref="P191:P192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 Tediashvili</cp:lastModifiedBy>
  <cp:lastPrinted>2022-05-11T11:40:35Z</cp:lastPrinted>
  <dcterms:created xsi:type="dcterms:W3CDTF">2021-12-14T06:28:06Z</dcterms:created>
  <dcterms:modified xsi:type="dcterms:W3CDTF">2022-05-19T13:21:58Z</dcterms:modified>
</cp:coreProperties>
</file>