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შესრულებები\3 kvartali\საკრებულოს\"/>
    </mc:Choice>
  </mc:AlternateContent>
  <bookViews>
    <workbookView xWindow="0" yWindow="0" windowWidth="23040" windowHeight="8616"/>
  </bookViews>
  <sheets>
    <sheet name="Sheet1" sheetId="1" r:id="rId1"/>
  </sheets>
  <definedNames>
    <definedName name="_xlnm._FilterDatabase" localSheetId="0" hidden="1">Sheet1!$A$6:$IV$6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J306" i="1" l="1"/>
  <c r="J305" i="1"/>
  <c r="M251" i="1"/>
  <c r="M177" i="1"/>
  <c r="M119" i="1"/>
  <c r="M118" i="1"/>
  <c r="M41" i="1"/>
  <c r="M40" i="1"/>
  <c r="M39" i="1"/>
  <c r="M38" i="1"/>
  <c r="M37" i="1"/>
  <c r="M313" i="1" l="1"/>
  <c r="M312" i="1"/>
  <c r="M311" i="1"/>
  <c r="M306" i="1"/>
  <c r="M305" i="1"/>
  <c r="M304" i="1"/>
  <c r="M297" i="1"/>
  <c r="M266" i="1"/>
  <c r="M261" i="1"/>
  <c r="M260" i="1"/>
  <c r="M259" i="1"/>
  <c r="M258" i="1"/>
  <c r="M257" i="1"/>
  <c r="M256" i="1"/>
  <c r="D261" i="1"/>
  <c r="D258" i="1"/>
  <c r="M233" i="1" l="1"/>
  <c r="M232" i="1"/>
  <c r="D234" i="1"/>
  <c r="M234" i="1" s="1"/>
  <c r="D233" i="1"/>
  <c r="D232" i="1"/>
  <c r="M231" i="1"/>
  <c r="M230" i="1"/>
  <c r="M229" i="1"/>
  <c r="M228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88" i="1"/>
  <c r="M187" i="1"/>
  <c r="M183" i="1"/>
  <c r="M182" i="1"/>
  <c r="M181" i="1"/>
  <c r="M179" i="1"/>
  <c r="D158" i="1"/>
  <c r="M158" i="1" s="1"/>
  <c r="J144" i="1"/>
  <c r="D136" i="1"/>
  <c r="M136" i="1" s="1"/>
  <c r="D95" i="1"/>
  <c r="M95" i="1" s="1"/>
  <c r="D94" i="1"/>
  <c r="M94" i="1" s="1"/>
  <c r="M91" i="1"/>
  <c r="J73" i="1" l="1"/>
  <c r="J311" i="1" l="1"/>
  <c r="G306" i="1"/>
  <c r="G305" i="1"/>
  <c r="E308" i="1"/>
  <c r="D307" i="1"/>
  <c r="D306" i="1"/>
  <c r="D305" i="1"/>
  <c r="F297" i="1"/>
  <c r="F316" i="1" l="1"/>
  <c r="J314" i="1"/>
  <c r="G314" i="1"/>
  <c r="D314" i="1"/>
  <c r="J294" i="1"/>
  <c r="G294" i="1"/>
  <c r="D294" i="1"/>
  <c r="E270" i="1"/>
  <c r="J269" i="1"/>
  <c r="G269" i="1"/>
  <c r="D269" i="1"/>
  <c r="F262" i="1"/>
  <c r="J260" i="1"/>
  <c r="G260" i="1"/>
  <c r="D260" i="1"/>
  <c r="J259" i="1"/>
  <c r="G259" i="1"/>
  <c r="D259" i="1"/>
  <c r="M314" i="1" l="1"/>
  <c r="M294" i="1"/>
  <c r="M269" i="1"/>
  <c r="J214" i="1" l="1"/>
  <c r="G214" i="1"/>
  <c r="D214" i="1"/>
  <c r="J213" i="1"/>
  <c r="G213" i="1"/>
  <c r="D213" i="1"/>
  <c r="J212" i="1"/>
  <c r="G212" i="1"/>
  <c r="D212" i="1"/>
  <c r="J211" i="1"/>
  <c r="G211" i="1"/>
  <c r="D211" i="1"/>
  <c r="J210" i="1"/>
  <c r="G210" i="1"/>
  <c r="D210" i="1"/>
  <c r="D153" i="1"/>
  <c r="D146" i="1"/>
  <c r="M146" i="1" s="1"/>
  <c r="E147" i="1"/>
  <c r="E137" i="1" l="1"/>
  <c r="I123" i="1" l="1"/>
  <c r="E108" i="1" l="1"/>
  <c r="D107" i="1"/>
  <c r="F96" i="1" l="1"/>
  <c r="J93" i="1"/>
  <c r="G93" i="1"/>
  <c r="D93" i="1"/>
  <c r="J92" i="1"/>
  <c r="G92" i="1"/>
  <c r="D92" i="1"/>
  <c r="M92" i="1" l="1"/>
  <c r="M93" i="1"/>
  <c r="E18" i="1" l="1"/>
  <c r="D50" i="1" l="1"/>
  <c r="M50" i="1" s="1"/>
  <c r="G49" i="1" l="1"/>
  <c r="G86" i="1"/>
  <c r="G87" i="1"/>
  <c r="G88" i="1"/>
  <c r="G89" i="1"/>
  <c r="G90" i="1"/>
  <c r="F123" i="1"/>
  <c r="D183" i="1" l="1"/>
  <c r="D181" i="1"/>
  <c r="J183" i="1"/>
  <c r="G183" i="1"/>
  <c r="J187" i="1"/>
  <c r="J188" i="1"/>
  <c r="G187" i="1"/>
  <c r="G188" i="1"/>
  <c r="D187" i="1"/>
  <c r="D188" i="1"/>
  <c r="E190" i="1" l="1"/>
  <c r="G195" i="1"/>
  <c r="J194" i="1"/>
  <c r="J195" i="1"/>
  <c r="G194" i="1"/>
  <c r="D194" i="1"/>
  <c r="D195" i="1"/>
  <c r="G231" i="1"/>
  <c r="H243" i="1"/>
  <c r="H251" i="1"/>
  <c r="H308" i="1"/>
  <c r="L316" i="1"/>
  <c r="I316" i="1"/>
  <c r="H316" i="1"/>
  <c r="J313" i="1"/>
  <c r="G313" i="1"/>
  <c r="D313" i="1"/>
  <c r="K312" i="1"/>
  <c r="K316" i="1" s="1"/>
  <c r="D293" i="1"/>
  <c r="G293" i="1"/>
  <c r="J293" i="1"/>
  <c r="J292" i="1"/>
  <c r="G292" i="1"/>
  <c r="D292" i="1"/>
  <c r="J291" i="1"/>
  <c r="G291" i="1"/>
  <c r="D291" i="1"/>
  <c r="M291" i="1" s="1"/>
  <c r="M292" i="1" l="1"/>
  <c r="M293" i="1"/>
  <c r="I297" i="1"/>
  <c r="E287" i="1"/>
  <c r="H286" i="1"/>
  <c r="E286" i="1"/>
  <c r="K290" i="1"/>
  <c r="J290" i="1" s="1"/>
  <c r="G288" i="1"/>
  <c r="J288" i="1"/>
  <c r="G289" i="1"/>
  <c r="J289" i="1"/>
  <c r="M289" i="1" s="1"/>
  <c r="G290" i="1"/>
  <c r="D288" i="1"/>
  <c r="D289" i="1"/>
  <c r="D290" i="1"/>
  <c r="G266" i="1"/>
  <c r="J266" i="1"/>
  <c r="D266" i="1"/>
  <c r="G256" i="1"/>
  <c r="J256" i="1"/>
  <c r="G257" i="1"/>
  <c r="J257" i="1"/>
  <c r="D256" i="1"/>
  <c r="D257" i="1"/>
  <c r="E251" i="1"/>
  <c r="I235" i="1"/>
  <c r="H235" i="1"/>
  <c r="J231" i="1"/>
  <c r="D231" i="1"/>
  <c r="F222" i="1"/>
  <c r="F235" i="1" s="1"/>
  <c r="E222" i="1"/>
  <c r="E235" i="1" s="1"/>
  <c r="G228" i="1"/>
  <c r="J228" i="1"/>
  <c r="G229" i="1"/>
  <c r="J229" i="1"/>
  <c r="G230" i="1"/>
  <c r="J230" i="1"/>
  <c r="D228" i="1"/>
  <c r="D229" i="1"/>
  <c r="D230" i="1"/>
  <c r="K189" i="1"/>
  <c r="L177" i="1"/>
  <c r="D199" i="1"/>
  <c r="D202" i="1"/>
  <c r="D201" i="1"/>
  <c r="D200" i="1"/>
  <c r="K199" i="1"/>
  <c r="J199" i="1" s="1"/>
  <c r="D209" i="1"/>
  <c r="G209" i="1"/>
  <c r="J209" i="1"/>
  <c r="E176" i="1"/>
  <c r="K202" i="1"/>
  <c r="J202" i="1" s="1"/>
  <c r="K201" i="1"/>
  <c r="J201" i="1" s="1"/>
  <c r="K200" i="1"/>
  <c r="J200" i="1" s="1"/>
  <c r="K198" i="1"/>
  <c r="K197" i="1"/>
  <c r="K196" i="1"/>
  <c r="G201" i="1"/>
  <c r="G202" i="1"/>
  <c r="G199" i="1"/>
  <c r="G200" i="1"/>
  <c r="E297" i="1" l="1"/>
  <c r="M288" i="1"/>
  <c r="M290" i="1"/>
  <c r="H297" i="1"/>
  <c r="G297" i="1" s="1"/>
  <c r="D193" i="1"/>
  <c r="G193" i="1"/>
  <c r="J193" i="1"/>
  <c r="D196" i="1"/>
  <c r="G196" i="1"/>
  <c r="J196" i="1"/>
  <c r="D197" i="1"/>
  <c r="G197" i="1"/>
  <c r="J197" i="1"/>
  <c r="D198" i="1"/>
  <c r="G198" i="1"/>
  <c r="J198" i="1"/>
  <c r="G205" i="1"/>
  <c r="J205" i="1"/>
  <c r="G206" i="1"/>
  <c r="J206" i="1"/>
  <c r="G207" i="1"/>
  <c r="J207" i="1"/>
  <c r="G208" i="1"/>
  <c r="J208" i="1"/>
  <c r="D205" i="1"/>
  <c r="D206" i="1"/>
  <c r="D207" i="1"/>
  <c r="D208" i="1"/>
  <c r="G152" i="1"/>
  <c r="J152" i="1"/>
  <c r="D152" i="1"/>
  <c r="L147" i="1"/>
  <c r="G145" i="1"/>
  <c r="J145" i="1"/>
  <c r="M145" i="1" s="1"/>
  <c r="G144" i="1"/>
  <c r="D144" i="1"/>
  <c r="M144" i="1" s="1"/>
  <c r="D145" i="1"/>
  <c r="K141" i="1"/>
  <c r="K147" i="1" s="1"/>
  <c r="I137" i="1"/>
  <c r="H137" i="1"/>
  <c r="J132" i="1"/>
  <c r="G132" i="1"/>
  <c r="D132" i="1"/>
  <c r="D127" i="1"/>
  <c r="G119" i="1"/>
  <c r="J119" i="1"/>
  <c r="D119" i="1"/>
  <c r="K131" i="1"/>
  <c r="K122" i="1"/>
  <c r="K117" i="1"/>
  <c r="K113" i="1"/>
  <c r="L125" i="1"/>
  <c r="L120" i="1"/>
  <c r="L123" i="1"/>
  <c r="L122" i="1"/>
  <c r="J126" i="1"/>
  <c r="J127" i="1"/>
  <c r="M127" i="1" s="1"/>
  <c r="G126" i="1"/>
  <c r="G127" i="1"/>
  <c r="D126" i="1"/>
  <c r="G135" i="1"/>
  <c r="J135" i="1"/>
  <c r="D135" i="1"/>
  <c r="J105" i="1"/>
  <c r="J106" i="1"/>
  <c r="G104" i="1"/>
  <c r="G105" i="1"/>
  <c r="G106" i="1"/>
  <c r="D106" i="1"/>
  <c r="D105" i="1"/>
  <c r="D104" i="1"/>
  <c r="J104" i="1"/>
  <c r="M104" i="1" s="1"/>
  <c r="K99" i="1"/>
  <c r="J86" i="1"/>
  <c r="J87" i="1"/>
  <c r="J88" i="1"/>
  <c r="J89" i="1"/>
  <c r="J90" i="1"/>
  <c r="D86" i="1"/>
  <c r="D87" i="1"/>
  <c r="D88" i="1"/>
  <c r="D89" i="1"/>
  <c r="D90" i="1"/>
  <c r="K55" i="1"/>
  <c r="K69" i="1"/>
  <c r="L51" i="1"/>
  <c r="J49" i="1"/>
  <c r="D49" i="1"/>
  <c r="G41" i="1"/>
  <c r="G42" i="1"/>
  <c r="J41" i="1"/>
  <c r="J42" i="1"/>
  <c r="D41" i="1"/>
  <c r="D42" i="1"/>
  <c r="F34" i="1"/>
  <c r="D29" i="1"/>
  <c r="E25" i="1"/>
  <c r="E20" i="1"/>
  <c r="F20" i="1"/>
  <c r="J9" i="1"/>
  <c r="J10" i="1"/>
  <c r="J13" i="1"/>
  <c r="J14" i="1"/>
  <c r="M14" i="1" s="1"/>
  <c r="J15" i="1"/>
  <c r="L16" i="1"/>
  <c r="K37" i="1"/>
  <c r="J40" i="1"/>
  <c r="G40" i="1"/>
  <c r="D40" i="1"/>
  <c r="L35" i="1"/>
  <c r="G13" i="1"/>
  <c r="G14" i="1"/>
  <c r="G15" i="1"/>
  <c r="D14" i="1"/>
  <c r="M106" i="1" l="1"/>
  <c r="M105" i="1"/>
  <c r="M126" i="1"/>
  <c r="M49" i="1"/>
  <c r="M135" i="1"/>
  <c r="M132" i="1"/>
  <c r="F44" i="1"/>
  <c r="M90" i="1"/>
  <c r="M88" i="1"/>
  <c r="M89" i="1"/>
  <c r="M87" i="1"/>
  <c r="M86" i="1"/>
  <c r="M152" i="1"/>
  <c r="D297" i="1"/>
  <c r="F137" i="1"/>
  <c r="D304" i="1"/>
  <c r="G304" i="1"/>
  <c r="J304" i="1"/>
  <c r="D303" i="1"/>
  <c r="G303" i="1"/>
  <c r="J303" i="1"/>
  <c r="L283" i="1"/>
  <c r="L297" i="1" s="1"/>
  <c r="K282" i="1"/>
  <c r="K217" i="1"/>
  <c r="D182" i="1"/>
  <c r="G182" i="1"/>
  <c r="J182" i="1"/>
  <c r="D189" i="1"/>
  <c r="G189" i="1"/>
  <c r="J189" i="1"/>
  <c r="D190" i="1"/>
  <c r="G190" i="1"/>
  <c r="J190" i="1"/>
  <c r="D191" i="1"/>
  <c r="G191" i="1"/>
  <c r="J191" i="1"/>
  <c r="D192" i="1"/>
  <c r="G192" i="1"/>
  <c r="J192" i="1"/>
  <c r="J181" i="1"/>
  <c r="G181" i="1"/>
  <c r="M190" i="1" l="1"/>
  <c r="M303" i="1"/>
  <c r="M192" i="1"/>
  <c r="M191" i="1"/>
  <c r="M189" i="1"/>
  <c r="J118" i="1"/>
  <c r="G118" i="1"/>
  <c r="D118" i="1"/>
  <c r="K98" i="1"/>
  <c r="K61" i="1"/>
  <c r="K46" i="1"/>
  <c r="K39" i="1"/>
  <c r="L20" i="1"/>
  <c r="K28" i="1"/>
  <c r="K300" i="1" l="1"/>
  <c r="K308" i="1" s="1"/>
  <c r="K281" i="1"/>
  <c r="L265" i="1"/>
  <c r="K251" i="1"/>
  <c r="J252" i="1"/>
  <c r="G252" i="1"/>
  <c r="D252" i="1"/>
  <c r="K253" i="1"/>
  <c r="K222" i="1"/>
  <c r="K235" i="1" s="1"/>
  <c r="K218" i="1"/>
  <c r="D179" i="1"/>
  <c r="G179" i="1"/>
  <c r="J179" i="1"/>
  <c r="L175" i="1"/>
  <c r="L215" i="1" s="1"/>
  <c r="J177" i="1"/>
  <c r="I177" i="1"/>
  <c r="G177" i="1" s="1"/>
  <c r="F177" i="1"/>
  <c r="D177" i="1" s="1"/>
  <c r="K176" i="1"/>
  <c r="J176" i="1" s="1"/>
  <c r="K174" i="1"/>
  <c r="K173" i="1"/>
  <c r="D178" i="1"/>
  <c r="G178" i="1"/>
  <c r="J178" i="1"/>
  <c r="D180" i="1"/>
  <c r="G180" i="1"/>
  <c r="J180" i="1"/>
  <c r="D184" i="1"/>
  <c r="G184" i="1"/>
  <c r="J184" i="1"/>
  <c r="D185" i="1"/>
  <c r="G185" i="1"/>
  <c r="J185" i="1"/>
  <c r="D186" i="1"/>
  <c r="G186" i="1"/>
  <c r="J186" i="1"/>
  <c r="G176" i="1"/>
  <c r="D176" i="1"/>
  <c r="K80" i="1"/>
  <c r="K47" i="1"/>
  <c r="K51" i="1" s="1"/>
  <c r="M184" i="1" l="1"/>
  <c r="M180" i="1"/>
  <c r="M178" i="1"/>
  <c r="M186" i="1"/>
  <c r="M185" i="1"/>
  <c r="M176" i="1"/>
  <c r="L121" i="1"/>
  <c r="K115" i="1"/>
  <c r="L124" i="1"/>
  <c r="D83" i="1"/>
  <c r="G83" i="1"/>
  <c r="J83" i="1"/>
  <c r="D84" i="1"/>
  <c r="G84" i="1"/>
  <c r="J84" i="1"/>
  <c r="M84" i="1" s="1"/>
  <c r="D85" i="1"/>
  <c r="G85" i="1"/>
  <c r="J85" i="1"/>
  <c r="M85" i="1" s="1"/>
  <c r="D82" i="1"/>
  <c r="G82" i="1"/>
  <c r="J82" i="1"/>
  <c r="K68" i="1"/>
  <c r="D79" i="1"/>
  <c r="G79" i="1"/>
  <c r="J79" i="1"/>
  <c r="D80" i="1"/>
  <c r="G80" i="1"/>
  <c r="J80" i="1"/>
  <c r="D81" i="1"/>
  <c r="G81" i="1"/>
  <c r="J81" i="1"/>
  <c r="D77" i="1"/>
  <c r="G77" i="1"/>
  <c r="J77" i="1"/>
  <c r="D78" i="1"/>
  <c r="G78" i="1"/>
  <c r="J78" i="1"/>
  <c r="G76" i="1"/>
  <c r="J76" i="1"/>
  <c r="D76" i="1"/>
  <c r="J48" i="1"/>
  <c r="G48" i="1"/>
  <c r="D48" i="1"/>
  <c r="L34" i="1"/>
  <c r="K29" i="1"/>
  <c r="J21" i="1"/>
  <c r="G21" i="1"/>
  <c r="D21" i="1"/>
  <c r="K31" i="1"/>
  <c r="K25" i="1"/>
  <c r="J26" i="1"/>
  <c r="G26" i="1"/>
  <c r="D26" i="1"/>
  <c r="M80" i="1" l="1"/>
  <c r="M81" i="1"/>
  <c r="M79" i="1"/>
  <c r="M82" i="1"/>
  <c r="M78" i="1"/>
  <c r="M77" i="1"/>
  <c r="M83" i="1"/>
  <c r="M76" i="1"/>
  <c r="M48" i="1"/>
  <c r="M21" i="1"/>
  <c r="M26" i="1"/>
  <c r="J312" i="1"/>
  <c r="G312" i="1"/>
  <c r="D312" i="1"/>
  <c r="G311" i="1"/>
  <c r="D311" i="1"/>
  <c r="J310" i="1"/>
  <c r="G310" i="1"/>
  <c r="E310" i="1" s="1"/>
  <c r="D310" i="1" s="1"/>
  <c r="E316" i="1"/>
  <c r="L308" i="1"/>
  <c r="J308" i="1" s="1"/>
  <c r="I308" i="1"/>
  <c r="F308" i="1"/>
  <c r="J302" i="1"/>
  <c r="G302" i="1"/>
  <c r="D302" i="1"/>
  <c r="J301" i="1"/>
  <c r="G301" i="1"/>
  <c r="D301" i="1"/>
  <c r="J300" i="1"/>
  <c r="G300" i="1"/>
  <c r="D300" i="1"/>
  <c r="J299" i="1"/>
  <c r="G299" i="1"/>
  <c r="D299" i="1"/>
  <c r="J287" i="1"/>
  <c r="G287" i="1"/>
  <c r="D287" i="1"/>
  <c r="J286" i="1"/>
  <c r="G286" i="1"/>
  <c r="D286" i="1"/>
  <c r="J285" i="1"/>
  <c r="G285" i="1"/>
  <c r="D285" i="1"/>
  <c r="J284" i="1"/>
  <c r="G284" i="1"/>
  <c r="D284" i="1"/>
  <c r="J283" i="1"/>
  <c r="G283" i="1"/>
  <c r="D283" i="1"/>
  <c r="J282" i="1"/>
  <c r="G282" i="1"/>
  <c r="D282" i="1"/>
  <c r="J281" i="1"/>
  <c r="G281" i="1"/>
  <c r="D281" i="1"/>
  <c r="K280" i="1"/>
  <c r="J280" i="1" s="1"/>
  <c r="G280" i="1"/>
  <c r="D280" i="1"/>
  <c r="J279" i="1"/>
  <c r="G279" i="1"/>
  <c r="D279" i="1"/>
  <c r="J278" i="1"/>
  <c r="G278" i="1"/>
  <c r="D278" i="1"/>
  <c r="J277" i="1"/>
  <c r="G277" i="1"/>
  <c r="D277" i="1"/>
  <c r="J276" i="1"/>
  <c r="G276" i="1"/>
  <c r="D276" i="1"/>
  <c r="J275" i="1"/>
  <c r="G275" i="1"/>
  <c r="D275" i="1"/>
  <c r="K274" i="1"/>
  <c r="G274" i="1"/>
  <c r="D274" i="1"/>
  <c r="J273" i="1"/>
  <c r="G273" i="1"/>
  <c r="D273" i="1"/>
  <c r="J272" i="1"/>
  <c r="G272" i="1"/>
  <c r="D272" i="1"/>
  <c r="K270" i="1"/>
  <c r="I270" i="1"/>
  <c r="H270" i="1"/>
  <c r="J265" i="1"/>
  <c r="G265" i="1"/>
  <c r="D265" i="1" s="1"/>
  <c r="L264" i="1"/>
  <c r="L270" i="1" s="1"/>
  <c r="G264" i="1"/>
  <c r="F264" i="1" s="1"/>
  <c r="F270" i="1" s="1"/>
  <c r="J255" i="1"/>
  <c r="G255" i="1"/>
  <c r="D255" i="1"/>
  <c r="J254" i="1"/>
  <c r="G254" i="1"/>
  <c r="D254" i="1"/>
  <c r="J253" i="1"/>
  <c r="G253" i="1"/>
  <c r="D253" i="1"/>
  <c r="J251" i="1"/>
  <c r="G251" i="1"/>
  <c r="D251" i="1"/>
  <c r="J250" i="1"/>
  <c r="G250" i="1"/>
  <c r="D250" i="1"/>
  <c r="J249" i="1"/>
  <c r="G249" i="1"/>
  <c r="D249" i="1"/>
  <c r="J248" i="1"/>
  <c r="G248" i="1"/>
  <c r="D248" i="1"/>
  <c r="J247" i="1"/>
  <c r="G247" i="1"/>
  <c r="D247" i="1"/>
  <c r="J246" i="1"/>
  <c r="G246" i="1"/>
  <c r="D246" i="1"/>
  <c r="J245" i="1"/>
  <c r="G245" i="1"/>
  <c r="D245" i="1"/>
  <c r="J244" i="1"/>
  <c r="G244" i="1"/>
  <c r="D244" i="1"/>
  <c r="K243" i="1"/>
  <c r="J243" i="1" s="1"/>
  <c r="G243" i="1"/>
  <c r="E243" i="1"/>
  <c r="K242" i="1"/>
  <c r="J242" i="1" s="1"/>
  <c r="G242" i="1"/>
  <c r="D242" i="1"/>
  <c r="L241" i="1"/>
  <c r="L262" i="1" s="1"/>
  <c r="I241" i="1"/>
  <c r="I262" i="1" s="1"/>
  <c r="H241" i="1"/>
  <c r="D241" i="1"/>
  <c r="M239" i="1"/>
  <c r="J238" i="1"/>
  <c r="G238" i="1"/>
  <c r="D238" i="1"/>
  <c r="J237" i="1"/>
  <c r="G237" i="1"/>
  <c r="D237" i="1"/>
  <c r="G235" i="1"/>
  <c r="D235" i="1"/>
  <c r="J227" i="1"/>
  <c r="G227" i="1"/>
  <c r="D227" i="1"/>
  <c r="J226" i="1"/>
  <c r="G226" i="1"/>
  <c r="D226" i="1"/>
  <c r="J225" i="1"/>
  <c r="G225" i="1"/>
  <c r="D225" i="1"/>
  <c r="J224" i="1"/>
  <c r="G224" i="1"/>
  <c r="D224" i="1"/>
  <c r="J223" i="1"/>
  <c r="G223" i="1"/>
  <c r="D223" i="1"/>
  <c r="L222" i="1"/>
  <c r="G222" i="1"/>
  <c r="D222" i="1"/>
  <c r="L220" i="1"/>
  <c r="I220" i="1"/>
  <c r="H220" i="1"/>
  <c r="F220" i="1"/>
  <c r="E220" i="1"/>
  <c r="J219" i="1"/>
  <c r="G219" i="1"/>
  <c r="D219" i="1"/>
  <c r="J218" i="1"/>
  <c r="G218" i="1"/>
  <c r="D218" i="1"/>
  <c r="J217" i="1"/>
  <c r="G217" i="1"/>
  <c r="D217" i="1"/>
  <c r="J204" i="1"/>
  <c r="G204" i="1"/>
  <c r="D204" i="1"/>
  <c r="J203" i="1"/>
  <c r="G203" i="1"/>
  <c r="D203" i="1"/>
  <c r="J175" i="1"/>
  <c r="I175" i="1"/>
  <c r="F175" i="1"/>
  <c r="F215" i="1" s="1"/>
  <c r="J174" i="1"/>
  <c r="G174" i="1"/>
  <c r="D174" i="1"/>
  <c r="J173" i="1"/>
  <c r="G173" i="1"/>
  <c r="D173" i="1"/>
  <c r="J172" i="1"/>
  <c r="H172" i="1"/>
  <c r="G172" i="1" s="1"/>
  <c r="D172" i="1"/>
  <c r="J171" i="1"/>
  <c r="G171" i="1"/>
  <c r="D171" i="1"/>
  <c r="K170" i="1"/>
  <c r="J170" i="1" s="1"/>
  <c r="G170" i="1"/>
  <c r="D170" i="1"/>
  <c r="K169" i="1"/>
  <c r="J169" i="1" s="1"/>
  <c r="G169" i="1"/>
  <c r="E169" i="1"/>
  <c r="D169" i="1" s="1"/>
  <c r="K168" i="1"/>
  <c r="J168" i="1" s="1"/>
  <c r="G168" i="1"/>
  <c r="E168" i="1"/>
  <c r="D168" i="1" s="1"/>
  <c r="J167" i="1"/>
  <c r="G167" i="1"/>
  <c r="D167" i="1"/>
  <c r="K166" i="1"/>
  <c r="G166" i="1"/>
  <c r="E166" i="1"/>
  <c r="J165" i="1"/>
  <c r="G165" i="1"/>
  <c r="D165" i="1"/>
  <c r="J164" i="1"/>
  <c r="H164" i="1"/>
  <c r="G164" i="1" s="1"/>
  <c r="D164" i="1"/>
  <c r="J163" i="1"/>
  <c r="H163" i="1"/>
  <c r="D163" i="1"/>
  <c r="J162" i="1"/>
  <c r="G162" i="1"/>
  <c r="D162" i="1"/>
  <c r="L159" i="1"/>
  <c r="K159" i="1"/>
  <c r="I159" i="1"/>
  <c r="H159" i="1"/>
  <c r="F159" i="1"/>
  <c r="E159" i="1"/>
  <c r="J157" i="1"/>
  <c r="G157" i="1"/>
  <c r="D157" i="1"/>
  <c r="J156" i="1"/>
  <c r="G156" i="1"/>
  <c r="D156" i="1"/>
  <c r="L154" i="1"/>
  <c r="I154" i="1"/>
  <c r="H154" i="1"/>
  <c r="F154" i="1"/>
  <c r="J151" i="1"/>
  <c r="G151" i="1"/>
  <c r="D151" i="1"/>
  <c r="K150" i="1"/>
  <c r="K154" i="1" s="1"/>
  <c r="G150" i="1"/>
  <c r="E150" i="1"/>
  <c r="J149" i="1"/>
  <c r="G149" i="1"/>
  <c r="D149" i="1"/>
  <c r="I147" i="1"/>
  <c r="H147" i="1"/>
  <c r="F147" i="1"/>
  <c r="J143" i="1"/>
  <c r="G143" i="1"/>
  <c r="D143" i="1"/>
  <c r="J142" i="1"/>
  <c r="G142" i="1"/>
  <c r="D142" i="1"/>
  <c r="J141" i="1"/>
  <c r="G141" i="1"/>
  <c r="D141" i="1"/>
  <c r="J140" i="1"/>
  <c r="G140" i="1"/>
  <c r="D140" i="1"/>
  <c r="J134" i="1"/>
  <c r="G134" i="1"/>
  <c r="D134" i="1"/>
  <c r="J133" i="1"/>
  <c r="M133" i="1" s="1"/>
  <c r="G133" i="1"/>
  <c r="D133" i="1"/>
  <c r="J131" i="1"/>
  <c r="G131" i="1"/>
  <c r="D131" i="1"/>
  <c r="J130" i="1"/>
  <c r="G130" i="1"/>
  <c r="D130" i="1"/>
  <c r="L129" i="1"/>
  <c r="J129" i="1" s="1"/>
  <c r="G129" i="1"/>
  <c r="D129" i="1"/>
  <c r="J128" i="1"/>
  <c r="M128" i="1" s="1"/>
  <c r="G128" i="1"/>
  <c r="D128" i="1"/>
  <c r="J125" i="1"/>
  <c r="G125" i="1"/>
  <c r="D125" i="1"/>
  <c r="J124" i="1"/>
  <c r="G124" i="1"/>
  <c r="D124" i="1"/>
  <c r="J123" i="1"/>
  <c r="G123" i="1"/>
  <c r="D123" i="1"/>
  <c r="J122" i="1"/>
  <c r="G122" i="1"/>
  <c r="D122" i="1"/>
  <c r="J121" i="1"/>
  <c r="G121" i="1"/>
  <c r="D121" i="1"/>
  <c r="J120" i="1"/>
  <c r="G120" i="1"/>
  <c r="D120" i="1"/>
  <c r="J117" i="1"/>
  <c r="G117" i="1"/>
  <c r="D117" i="1"/>
  <c r="J116" i="1"/>
  <c r="G116" i="1"/>
  <c r="D116" i="1"/>
  <c r="J115" i="1"/>
  <c r="G115" i="1"/>
  <c r="D115" i="1"/>
  <c r="K114" i="1"/>
  <c r="K137" i="1" s="1"/>
  <c r="G114" i="1"/>
  <c r="D114" i="1"/>
  <c r="J113" i="1"/>
  <c r="G113" i="1"/>
  <c r="D113" i="1"/>
  <c r="J112" i="1"/>
  <c r="G112" i="1"/>
  <c r="D112" i="1"/>
  <c r="J111" i="1"/>
  <c r="G111" i="1"/>
  <c r="D111" i="1"/>
  <c r="J110" i="1"/>
  <c r="G110" i="1"/>
  <c r="D110" i="1"/>
  <c r="L108" i="1"/>
  <c r="K108" i="1"/>
  <c r="I108" i="1"/>
  <c r="H108" i="1"/>
  <c r="F108" i="1"/>
  <c r="D108" i="1" s="1"/>
  <c r="J103" i="1"/>
  <c r="G103" i="1"/>
  <c r="D103" i="1"/>
  <c r="J102" i="1"/>
  <c r="G102" i="1"/>
  <c r="D102" i="1"/>
  <c r="L100" i="1"/>
  <c r="I100" i="1"/>
  <c r="H100" i="1"/>
  <c r="F100" i="1"/>
  <c r="E100" i="1"/>
  <c r="J99" i="1"/>
  <c r="G99" i="1"/>
  <c r="D99" i="1"/>
  <c r="K100" i="1"/>
  <c r="J98" i="1"/>
  <c r="G98" i="1"/>
  <c r="D98" i="1"/>
  <c r="I96" i="1"/>
  <c r="J75" i="1"/>
  <c r="G75" i="1"/>
  <c r="D75" i="1"/>
  <c r="J74" i="1"/>
  <c r="G74" i="1"/>
  <c r="D74" i="1"/>
  <c r="G73" i="1"/>
  <c r="D73" i="1"/>
  <c r="M73" i="1" s="1"/>
  <c r="J72" i="1"/>
  <c r="G72" i="1"/>
  <c r="D72" i="1"/>
  <c r="K71" i="1"/>
  <c r="J71" i="1" s="1"/>
  <c r="G71" i="1"/>
  <c r="D71" i="1"/>
  <c r="J70" i="1"/>
  <c r="G70" i="1"/>
  <c r="D70" i="1"/>
  <c r="J69" i="1"/>
  <c r="G69" i="1"/>
  <c r="D69" i="1"/>
  <c r="J68" i="1"/>
  <c r="G68" i="1"/>
  <c r="D68" i="1"/>
  <c r="J67" i="1"/>
  <c r="G67" i="1"/>
  <c r="D67" i="1"/>
  <c r="J66" i="1"/>
  <c r="G66" i="1"/>
  <c r="D66" i="1"/>
  <c r="J65" i="1"/>
  <c r="G65" i="1"/>
  <c r="D65" i="1"/>
  <c r="J64" i="1"/>
  <c r="G64" i="1"/>
  <c r="D64" i="1"/>
  <c r="J63" i="1"/>
  <c r="H63" i="1"/>
  <c r="H96" i="1" s="1"/>
  <c r="E63" i="1"/>
  <c r="K62" i="1"/>
  <c r="J62" i="1" s="1"/>
  <c r="G62" i="1"/>
  <c r="D62" i="1"/>
  <c r="J61" i="1"/>
  <c r="G61" i="1"/>
  <c r="D61" i="1"/>
  <c r="K60" i="1"/>
  <c r="J60" i="1" s="1"/>
  <c r="G60" i="1"/>
  <c r="D60" i="1"/>
  <c r="K59" i="1"/>
  <c r="J59" i="1" s="1"/>
  <c r="G59" i="1"/>
  <c r="D59" i="1"/>
  <c r="J58" i="1"/>
  <c r="G58" i="1"/>
  <c r="D58" i="1"/>
  <c r="J57" i="1"/>
  <c r="G57" i="1"/>
  <c r="D57" i="1"/>
  <c r="L56" i="1"/>
  <c r="L96" i="1" s="1"/>
  <c r="G56" i="1"/>
  <c r="E56" i="1"/>
  <c r="J55" i="1"/>
  <c r="G55" i="1"/>
  <c r="D55" i="1"/>
  <c r="J51" i="1"/>
  <c r="I51" i="1"/>
  <c r="F51" i="1"/>
  <c r="J47" i="1"/>
  <c r="H47" i="1"/>
  <c r="G47" i="1" s="1"/>
  <c r="E47" i="1"/>
  <c r="E51" i="1" s="1"/>
  <c r="J46" i="1"/>
  <c r="G46" i="1"/>
  <c r="D46" i="1"/>
  <c r="L44" i="1"/>
  <c r="J39" i="1"/>
  <c r="G39" i="1"/>
  <c r="D39" i="1"/>
  <c r="J38" i="1"/>
  <c r="G38" i="1"/>
  <c r="D38" i="1"/>
  <c r="J37" i="1"/>
  <c r="G37" i="1"/>
  <c r="D37" i="1"/>
  <c r="K36" i="1"/>
  <c r="J36" i="1" s="1"/>
  <c r="G36" i="1"/>
  <c r="D36" i="1"/>
  <c r="J35" i="1"/>
  <c r="I35" i="1"/>
  <c r="H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K30" i="1"/>
  <c r="J30" i="1" s="1"/>
  <c r="G30" i="1"/>
  <c r="D30" i="1"/>
  <c r="J29" i="1"/>
  <c r="G29" i="1"/>
  <c r="J28" i="1"/>
  <c r="G28" i="1"/>
  <c r="D28" i="1"/>
  <c r="K27" i="1"/>
  <c r="J27" i="1" s="1"/>
  <c r="H27" i="1"/>
  <c r="G27" i="1" s="1"/>
  <c r="D27" i="1"/>
  <c r="J25" i="1"/>
  <c r="G25" i="1"/>
  <c r="D25" i="1"/>
  <c r="J24" i="1"/>
  <c r="G24" i="1"/>
  <c r="D24" i="1"/>
  <c r="J23" i="1"/>
  <c r="G23" i="1"/>
  <c r="E23" i="1"/>
  <c r="J22" i="1"/>
  <c r="G22" i="1"/>
  <c r="D22" i="1"/>
  <c r="J20" i="1"/>
  <c r="G20" i="1"/>
  <c r="D20" i="1"/>
  <c r="K19" i="1"/>
  <c r="J19" i="1" s="1"/>
  <c r="G19" i="1"/>
  <c r="D19" i="1"/>
  <c r="K18" i="1"/>
  <c r="J18" i="1" s="1"/>
  <c r="I18" i="1"/>
  <c r="H18" i="1"/>
  <c r="D18" i="1"/>
  <c r="I16" i="1"/>
  <c r="H16" i="1"/>
  <c r="F16" i="1"/>
  <c r="E16" i="1"/>
  <c r="D15" i="1"/>
  <c r="M15" i="1" s="1"/>
  <c r="D13" i="1"/>
  <c r="M13" i="1" s="1"/>
  <c r="K12" i="1"/>
  <c r="J12" i="1" s="1"/>
  <c r="G12" i="1"/>
  <c r="D12" i="1"/>
  <c r="K11" i="1"/>
  <c r="J11" i="1" s="1"/>
  <c r="G11" i="1"/>
  <c r="D11" i="1"/>
  <c r="G10" i="1"/>
  <c r="D10" i="1"/>
  <c r="G9" i="1"/>
  <c r="D9" i="1"/>
  <c r="K8" i="1"/>
  <c r="G8" i="1"/>
  <c r="D8" i="1"/>
  <c r="M134" i="1" l="1"/>
  <c r="M129" i="1"/>
  <c r="M130" i="1"/>
  <c r="M125" i="1"/>
  <c r="M131" i="1"/>
  <c r="D23" i="1"/>
  <c r="E44" i="1"/>
  <c r="D243" i="1"/>
  <c r="E262" i="1"/>
  <c r="D150" i="1"/>
  <c r="E154" i="1"/>
  <c r="E96" i="1"/>
  <c r="D56" i="1"/>
  <c r="D159" i="1"/>
  <c r="G18" i="1"/>
  <c r="E215" i="1"/>
  <c r="J166" i="1"/>
  <c r="K215" i="1"/>
  <c r="J274" i="1"/>
  <c r="M274" i="1" s="1"/>
  <c r="K297" i="1"/>
  <c r="J297" i="1" s="1"/>
  <c r="D175" i="1"/>
  <c r="M175" i="1" s="1"/>
  <c r="G270" i="1"/>
  <c r="M301" i="1"/>
  <c r="G163" i="1"/>
  <c r="H215" i="1"/>
  <c r="G175" i="1"/>
  <c r="I215" i="1"/>
  <c r="J222" i="1"/>
  <c r="M222" i="1" s="1"/>
  <c r="L235" i="1"/>
  <c r="J235" i="1" s="1"/>
  <c r="M235" i="1" s="1"/>
  <c r="J159" i="1"/>
  <c r="G220" i="1"/>
  <c r="J241" i="1"/>
  <c r="M241" i="1" s="1"/>
  <c r="D308" i="1"/>
  <c r="M308" i="1" s="1"/>
  <c r="L137" i="1"/>
  <c r="J137" i="1" s="1"/>
  <c r="J108" i="1"/>
  <c r="M108" i="1" s="1"/>
  <c r="J150" i="1"/>
  <c r="G159" i="1"/>
  <c r="J316" i="1"/>
  <c r="J114" i="1"/>
  <c r="M114" i="1" s="1"/>
  <c r="K96" i="1"/>
  <c r="J96" i="1" s="1"/>
  <c r="G16" i="1"/>
  <c r="D100" i="1"/>
  <c r="J264" i="1"/>
  <c r="M282" i="1"/>
  <c r="J8" i="1"/>
  <c r="M8" i="1" s="1"/>
  <c r="K16" i="1"/>
  <c r="J16" i="1" s="1"/>
  <c r="M276" i="1"/>
  <c r="M164" i="1"/>
  <c r="G100" i="1"/>
  <c r="M157" i="1"/>
  <c r="J56" i="1"/>
  <c r="M56" i="1" s="1"/>
  <c r="G63" i="1"/>
  <c r="D147" i="1"/>
  <c r="G108" i="1"/>
  <c r="M283" i="1"/>
  <c r="G96" i="1"/>
  <c r="M243" i="1"/>
  <c r="M247" i="1"/>
  <c r="M285" i="1"/>
  <c r="K44" i="1"/>
  <c r="J44" i="1" s="1"/>
  <c r="J154" i="1"/>
  <c r="J270" i="1"/>
  <c r="M275" i="1"/>
  <c r="M286" i="1"/>
  <c r="G241" i="1"/>
  <c r="G316" i="1"/>
  <c r="M217" i="1"/>
  <c r="M168" i="1"/>
  <c r="M225" i="1"/>
  <c r="M173" i="1"/>
  <c r="M167" i="1"/>
  <c r="M218" i="1"/>
  <c r="M169" i="1"/>
  <c r="M227" i="1"/>
  <c r="M141" i="1"/>
  <c r="M224" i="1"/>
  <c r="M170" i="1"/>
  <c r="M219" i="1"/>
  <c r="M265" i="1"/>
  <c r="H51" i="1"/>
  <c r="G51" i="1" s="1"/>
  <c r="M156" i="1"/>
  <c r="M226" i="1"/>
  <c r="M248" i="1"/>
  <c r="M223" i="1"/>
  <c r="M253" i="1"/>
  <c r="M165" i="1"/>
  <c r="M302" i="1"/>
  <c r="M245" i="1"/>
  <c r="H44" i="1"/>
  <c r="M237" i="1"/>
  <c r="M284" i="1"/>
  <c r="I44" i="1"/>
  <c r="G154" i="1"/>
  <c r="M299" i="1"/>
  <c r="D47" i="1"/>
  <c r="M47" i="1" s="1"/>
  <c r="M55" i="1"/>
  <c r="M163" i="1"/>
  <c r="M172" i="1"/>
  <c r="M246" i="1"/>
  <c r="M278" i="1"/>
  <c r="M238" i="1"/>
  <c r="M250" i="1"/>
  <c r="M279" i="1"/>
  <c r="G137" i="1"/>
  <c r="G308" i="1"/>
  <c r="M272" i="1"/>
  <c r="J100" i="1"/>
  <c r="M174" i="1"/>
  <c r="M244" i="1"/>
  <c r="M280" i="1"/>
  <c r="D220" i="1"/>
  <c r="M162" i="1"/>
  <c r="M171" i="1"/>
  <c r="M273" i="1"/>
  <c r="M277" i="1"/>
  <c r="M287" i="1"/>
  <c r="M242" i="1"/>
  <c r="M249" i="1"/>
  <c r="M281" i="1"/>
  <c r="K262" i="1"/>
  <c r="J262" i="1" s="1"/>
  <c r="M254" i="1"/>
  <c r="D51" i="1"/>
  <c r="M51" i="1" s="1"/>
  <c r="D63" i="1"/>
  <c r="M63" i="1" s="1"/>
  <c r="G147" i="1"/>
  <c r="K220" i="1"/>
  <c r="J220" i="1" s="1"/>
  <c r="M255" i="1"/>
  <c r="M300" i="1"/>
  <c r="M140" i="1"/>
  <c r="M143" i="1"/>
  <c r="J147" i="1"/>
  <c r="D137" i="1"/>
  <c r="M9" i="1"/>
  <c r="D16" i="1"/>
  <c r="M10" i="1"/>
  <c r="M11" i="1"/>
  <c r="M142" i="1"/>
  <c r="M117" i="1"/>
  <c r="M61" i="1"/>
  <c r="M110" i="1"/>
  <c r="M46" i="1"/>
  <c r="M99" i="1"/>
  <c r="M58" i="1"/>
  <c r="M72" i="1"/>
  <c r="M70" i="1"/>
  <c r="M112" i="1"/>
  <c r="M149" i="1"/>
  <c r="M71" i="1"/>
  <c r="M113" i="1"/>
  <c r="M103" i="1"/>
  <c r="M123" i="1"/>
  <c r="M65" i="1"/>
  <c r="M120" i="1"/>
  <c r="M59" i="1"/>
  <c r="M62" i="1"/>
  <c r="M69" i="1"/>
  <c r="M111" i="1"/>
  <c r="M115" i="1"/>
  <c r="M124" i="1"/>
  <c r="M121" i="1"/>
  <c r="M60" i="1"/>
  <c r="M74" i="1"/>
  <c r="M67" i="1"/>
  <c r="M98" i="1"/>
  <c r="M75" i="1"/>
  <c r="M102" i="1"/>
  <c r="M122" i="1"/>
  <c r="M66" i="1"/>
  <c r="M33" i="1"/>
  <c r="M30" i="1"/>
  <c r="M36" i="1"/>
  <c r="M12" i="1"/>
  <c r="M22" i="1"/>
  <c r="M25" i="1"/>
  <c r="M116" i="1"/>
  <c r="M23" i="1"/>
  <c r="M35" i="1"/>
  <c r="M34" i="1"/>
  <c r="M28" i="1"/>
  <c r="M31" i="1"/>
  <c r="M20" i="1"/>
  <c r="M29" i="1"/>
  <c r="M32" i="1"/>
  <c r="M27" i="1"/>
  <c r="D264" i="1"/>
  <c r="M68" i="1"/>
  <c r="M310" i="1"/>
  <c r="M18" i="1"/>
  <c r="H262" i="1"/>
  <c r="G262" i="1" s="1"/>
  <c r="D166" i="1"/>
  <c r="G35" i="1"/>
  <c r="D316" i="1" l="1"/>
  <c r="M316" i="1" s="1"/>
  <c r="M150" i="1"/>
  <c r="M159" i="1"/>
  <c r="D96" i="1"/>
  <c r="M96" i="1" s="1"/>
  <c r="D262" i="1"/>
  <c r="M262" i="1" s="1"/>
  <c r="D44" i="1"/>
  <c r="M44" i="1" s="1"/>
  <c r="D270" i="1"/>
  <c r="M270" i="1" s="1"/>
  <c r="D215" i="1"/>
  <c r="D154" i="1"/>
  <c r="M154" i="1" s="1"/>
  <c r="M166" i="1"/>
  <c r="M100" i="1"/>
  <c r="M264" i="1"/>
  <c r="J215" i="1"/>
  <c r="M147" i="1"/>
  <c r="G44" i="1"/>
  <c r="M220" i="1"/>
  <c r="G215" i="1"/>
  <c r="M16" i="1"/>
  <c r="M137" i="1"/>
  <c r="M215" i="1" l="1"/>
</calcChain>
</file>

<file path=xl/sharedStrings.xml><?xml version="1.0" encoding="utf-8"?>
<sst xmlns="http://schemas.openxmlformats.org/spreadsheetml/2006/main" count="846" uniqueCount="672">
  <si>
    <t>ინფორმაცია</t>
  </si>
  <si>
    <t>შესრულებული სამუშაოები</t>
  </si>
  <si>
    <t>ადგ.დაფინანსებით</t>
  </si>
  <si>
    <t>სახ.დაფინანსებით</t>
  </si>
  <si>
    <t>ხელშეკრულებით</t>
  </si>
  <si>
    <t>ადგ.დაფინანს.</t>
  </si>
  <si>
    <t xml:space="preserve"> სახ.დაფინანს.</t>
  </si>
  <si>
    <t>სულ ფაქტი</t>
  </si>
  <si>
    <t>ფაქტი ადგ.დაფინანს.</t>
  </si>
  <si>
    <t>ფაქტი სახ.დაფინანს.</t>
  </si>
  <si>
    <t>შესრულებული სამუშაოების %</t>
  </si>
  <si>
    <t>სამუშაოთა შესრულების ვადები</t>
  </si>
  <si>
    <t xml:space="preserve">ხელშეკრულების ნომერი </t>
  </si>
  <si>
    <t>მომწოდებელი</t>
  </si>
  <si>
    <t>შენიშვნა</t>
  </si>
  <si>
    <t>02 01 01 01</t>
  </si>
  <si>
    <t>გზების მიდინარე შეკეთება</t>
  </si>
  <si>
    <t>ს.მ.</t>
  </si>
  <si>
    <t>საგარეჯოს მუნიციპალიტეტის   სოფლების შიდა საუბნო გზების მოხრეშვა-მოშანდაკების მიზნით ტექნიკის  და მათი ოპერატორის დაქირავების  მომსახურება</t>
  </si>
  <si>
    <t>15.11.2022-31.12.2022</t>
  </si>
  <si>
    <t>145/1</t>
  </si>
  <si>
    <t xml:space="preserve"> შპს ნიუ გრუპი</t>
  </si>
  <si>
    <t>სასარგებლო წიაღისეულის მოპოვების ლიცენზიისგან 3 თვით განთავისუფლების საფასური</t>
  </si>
  <si>
    <t>წერილი #: 1351-01022023-67410;</t>
  </si>
  <si>
    <t>ერთიანი ანგარიში</t>
  </si>
  <si>
    <t>მუნიციპალიტეტის ტერიტორიაზე არსებული გზების ორმოული შეკეთების სამუშაოები</t>
  </si>
  <si>
    <t>25.05.2022-31.01.2023</t>
  </si>
  <si>
    <t>70</t>
  </si>
  <si>
    <t>შპს ,,გარდაბნის  საგზაო სამმართველო"</t>
  </si>
  <si>
    <t>2022 წ.გადახდ.321.932ლ,დასრულებულია, ეკონომია 40.442</t>
  </si>
  <si>
    <t xml:space="preserve"> ერთი ერთეული გრეიდერის, ერთი ერთეული ექსკავატორ-დამტვირთველისა და ექსკავატორ-დამტვირთველისათვის თავსებადი ტრანშეების მთხრელის შესყიდვა.</t>
  </si>
  <si>
    <t>17.01.2023-17.05.2023</t>
  </si>
  <si>
    <t>6</t>
  </si>
  <si>
    <t>შპს შპს თეგეტა ქონსთრაქშენ ექვიფმენთ</t>
  </si>
  <si>
    <t>საგარეჯოს მუნიციპალიტეტის   სოფლების  შიდა საუბნო გზების მოხრეშვა-მოშანდაკების  მიზნით ტექნიკის (გრეიდერი,ექსკავატორ დამტვი, ავტოთვ,გრუნტის სატკეპნი)  და მათი ოპერატორის  დაქირავება/ მომსახურება</t>
  </si>
  <si>
    <t>29.03.2023-31.12.2023</t>
  </si>
  <si>
    <t>39/1</t>
  </si>
  <si>
    <t>შპს შპს ტიღა</t>
  </si>
  <si>
    <t>21.02.2023-31.12.2024</t>
  </si>
  <si>
    <t>22/1</t>
  </si>
  <si>
    <t>შპს საინჟინრო მონიტორინგის ჯგუფი</t>
  </si>
  <si>
    <t>სულ</t>
  </si>
  <si>
    <t>02 01 02</t>
  </si>
  <si>
    <t>ახალი გზების მშენებლობა</t>
  </si>
  <si>
    <t>ქ.საგარეჯოში ჭანტურიას ქუჩის მოასფალტების სამუშაოები N75_მთავრობის_განკ._17/01/2022</t>
  </si>
  <si>
    <t>05.07.2022-04.10.2022</t>
  </si>
  <si>
    <t>92/5</t>
  </si>
  <si>
    <t>სს ,,კავკასავტომაგისტრალი"</t>
  </si>
  <si>
    <t>2022 წ.გადახდ.139.18157 მ.შ,სახ.78.76007, ადგ.60.4215</t>
  </si>
  <si>
    <t>შემოსავალი ხელშეკრულების პირობების დარღვევის გამო დაკისრებული პირგასამტეხლოდან (ს/კ 238109202  სს"კავკასავტომაგისტრალი")</t>
  </si>
  <si>
    <t xml:space="preserve"> სოფელ კაკაბეთში სასაფლაოსთან მისასვლელი გზის მოასფალტება განკ.N2475 29/12/2022-770.965; N75_განკ._17/01/2022-197.400</t>
  </si>
  <si>
    <t>28.12.2022-30.03.2023</t>
  </si>
  <si>
    <t>168</t>
  </si>
  <si>
    <t xml:space="preserve"> საპროექტო სახარჯთაღრიცხვო დოკუმენტაციის შედგენის მომსახურება</t>
  </si>
  <si>
    <t>22.03.2022-31.12.2022</t>
  </si>
  <si>
    <t>37</t>
  </si>
  <si>
    <t xml:space="preserve"> შპს კავკას როუდი</t>
  </si>
  <si>
    <t xml:space="preserve"> ქ.საგარეჯოში, ნ.ცხვედაძის ქუჩის მასფალტება</t>
  </si>
  <si>
    <t>29.06.2022-28.09.2022</t>
  </si>
  <si>
    <t>89</t>
  </si>
  <si>
    <t>2022 წ.გადახდ.637.63681, მ.შ.400.000 სახ, 237.63681ადგ დასრ.ეკ.29.41377ადგ</t>
  </si>
  <si>
    <t>შემოსავალი ხელშეკრულების პირობების დარღვევის გამო დაკისრებული პირგასამტეხლოდან(ს/კ 238109202  სს"კავკასავტომაგისტრალი")</t>
  </si>
  <si>
    <t xml:space="preserve"> ს.მზისგულში სკოლასთან მისასვლელი ქუჩის მოასფალტების სამუშაოები</t>
  </si>
  <si>
    <t>05.07.2022-03.11.2022</t>
  </si>
  <si>
    <t>92/4</t>
  </si>
  <si>
    <t>2022 წ, გადახდ.313.66196 2023 ვალდ.416.53496</t>
  </si>
  <si>
    <t>ქ.საგარეჯოში წიფლისხევის ქუჩის მოასფალტების სამუშაოები</t>
  </si>
  <si>
    <t>07,06,2022-9.08.2022-29.04.2023</t>
  </si>
  <si>
    <t>77/3</t>
  </si>
  <si>
    <t>2022 წ.გადახდ.215.474 2023წ.ვალდ.291.71643</t>
  </si>
  <si>
    <t xml:space="preserve"> ს.პატარძეულში ე.წ."ყუშიტაანთ უბნის" გზის მოასფალტების სამუშაოები</t>
  </si>
  <si>
    <t>22.02.-23.08.2023</t>
  </si>
  <si>
    <t>23/2</t>
  </si>
  <si>
    <t xml:space="preserve"> ს.პატარძეულში 22-ე ქუჩის რეაბილიტაციის სამუშაოები</t>
  </si>
  <si>
    <t>ქ.საგარეჯოში მ.კოსტავას ქუჩაზე ტროტუარების მოწყობის სამუშაოები</t>
  </si>
  <si>
    <t>89/2</t>
  </si>
  <si>
    <t>შპს მილენიუმ ბილდერს გრუპ</t>
  </si>
  <si>
    <t>2022 წ.გადახდ.57.97518 2023წ.ვალდ.249.98381</t>
  </si>
  <si>
    <t xml:space="preserve"> საპროექტო და სამშენებლო სამუშაოების საზედამხედველო მომსახურება</t>
  </si>
  <si>
    <t>09.02.2022-31.12.2023</t>
  </si>
  <si>
    <t>შპს შპს საინჟინრო მონიტორინგის ჯგუფი</t>
  </si>
  <si>
    <t xml:space="preserve"> ქ. საგარეჯოში არაყიშვილის ქუჩის I შესახვევის რეაბილიტაციის სამუშაოების შესყიდვა. განკ.#2475 29.12.2022</t>
  </si>
  <si>
    <t>22.02.2023-21.06.2023</t>
  </si>
  <si>
    <t>23</t>
  </si>
  <si>
    <t>31.03.2023-29.09.2023</t>
  </si>
  <si>
    <t>ქ. საგარეჯოში გ. ბრწყინვალეს I შესახვევის რეაბილიტაცია 2475_მთავრობის_განკ._29/12/2022</t>
  </si>
  <si>
    <t>23/1</t>
  </si>
  <si>
    <t>სოფელ ქვემო და ზემო ყანდაურის დამაკავშირებელი გზის მოასფალტება 75_მთავრობის_განკ._17/01/2022</t>
  </si>
  <si>
    <t>30,09,2021-20,05,2022</t>
  </si>
  <si>
    <t>117/2</t>
  </si>
  <si>
    <t>შპს შპს იბერი</t>
  </si>
  <si>
    <t>394.684 გადახ.2021 წ.-100.0 ადგ.,294.684 სახ.; 2022წ.გადახდ.22.34412</t>
  </si>
  <si>
    <t>საპროექტო-სახარჯთაღრიცხვო დოკუმენტაციის შედგენის მომსახურება.</t>
  </si>
  <si>
    <t>14.02.-31.12.2023</t>
  </si>
  <si>
    <t>18</t>
  </si>
  <si>
    <t>შპს შპს თბილგზაპროექტი</t>
  </si>
  <si>
    <t>ქ. საგარეჯოში ალაზნის ქუჩის IV ჩიხის, ქ. საგარეჯოში ალაზნის ქუჩის VI ჩიხისა და ქ.საგარეჯოში თბილისის I შესახვევის რეაბილიტაციის სამუშაოების შესყიდვა.</t>
  </si>
  <si>
    <t>06.06.2023-08.08.2023</t>
  </si>
  <si>
    <t>ქ. საგარეჯოში ფანოზიაანთ სასაფლაოსთან მისასვლელი გზის მოასფალტების სამუშაოები</t>
  </si>
  <si>
    <t>92/3</t>
  </si>
  <si>
    <t xml:space="preserve"> შპს კომპანია ელ ეს ჯორჯია</t>
  </si>
  <si>
    <t>2022 წ.გადახდ.366.73351, 2023წ.ვალდ.113.26649</t>
  </si>
  <si>
    <t xml:space="preserve"> შპს საინჟინრო მონიტორინგის ჯგუფი</t>
  </si>
  <si>
    <t>02 01 03</t>
  </si>
  <si>
    <t>საგზაო ნიშნები და უსაფრთხოება</t>
  </si>
  <si>
    <t>ს,მ.</t>
  </si>
  <si>
    <t>მერიის ბალანსზე არსებული ვიდეოსათვალთვალო კამერების მოვლა-პატრონობის მომსახურება</t>
  </si>
  <si>
    <t>25.08.2022-31.03.2023</t>
  </si>
  <si>
    <t>101/1</t>
  </si>
  <si>
    <t xml:space="preserve"> შპს დელტა კონსალტინგი</t>
  </si>
  <si>
    <t>სადროშე ბოძისა და დროშების შესყიდვა თანმდევი მონტაჟით.</t>
  </si>
  <si>
    <t>24.05.2023-08.07.2023</t>
  </si>
  <si>
    <t>შპს შპს ემსილაით</t>
  </si>
  <si>
    <t>02 02 01</t>
  </si>
  <si>
    <t>სასმელი წყლის სისტემის რეაბილიტაცია</t>
  </si>
  <si>
    <t>სასმელი წყლის ჭაბურღილებზე დახარჯული ელენერგიის ხარჯი აბ № 9701762761,9310013550, 9610023802,9310021001.9701762761; N 9610030140</t>
  </si>
  <si>
    <t>წერილი #: 413-18012023-70640; თარიღი: 18/01/2023</t>
  </si>
  <si>
    <t>სს სს ეპ ჯორჯია მიწოდება</t>
  </si>
  <si>
    <t xml:space="preserve"> სოფელ გიორგიწმინდაში ჭაბურღილების, შემკრები რეზერვუარების და სატუმბი სადგურის მოწყობის სამუშაოები განკ.#2685 31.12.2020- 69.14271 #75 17.01.2022-131.21134 </t>
  </si>
  <si>
    <t>01.03.2021-30/05/2021-პირველი ეტაპი 31/03/2022 - მეორე ეტაპი</t>
  </si>
  <si>
    <t>21</t>
  </si>
  <si>
    <t xml:space="preserve"> შპს თერგი</t>
  </si>
  <si>
    <t>2022წ.გადახდ.1084.25826, სახ.99.46172,ადგ.4.973 დასრ.ეკ.9.23841ადგ</t>
  </si>
  <si>
    <t>შემოსავალი ხელშეკრულების პირობების დარღვევის გამო დაკისრებული პირგასამტეხლოდან</t>
  </si>
  <si>
    <t>საჭირო საპროექტო-სახარჯთაღრიცხვო დოკუმენტაციის შედგენის მომსახურება.</t>
  </si>
  <si>
    <t>21.01.2022-31.12.2022</t>
  </si>
  <si>
    <t>8/4</t>
  </si>
  <si>
    <t>შპს შპს ელკო</t>
  </si>
  <si>
    <t>სოფ გომბორის წყალსადენი ქსელის ჭაბურღილის სრულფასოვანი ფუნქციონირებისთვის ახალი ელ აღრიცხვ. კვანძის მოწყობა</t>
  </si>
  <si>
    <t>წერილი #: 1489-03022023-25233; თარიღი: 03/02/2023</t>
  </si>
  <si>
    <t>სს "ენერგო-პრო-ჯორჯია"</t>
  </si>
  <si>
    <t>მუნიციპალიტეტის სამოქმედო ტერიტორიაზე სასმელი წყლის ამქაჩი ტუმბოების ან/და მათი კომპლექტის (ახლით) ან/და ხარჯთაღრიცხვებით გათვალისწინებული რომელიმე მოწყობილობის/საქონლის შეძენა-მონტაჟის სამუშაოები</t>
  </si>
  <si>
    <t>13.02.2023-21.03.2023</t>
  </si>
  <si>
    <t>17</t>
  </si>
  <si>
    <t>შპს ახალი მშენებელი 2019</t>
  </si>
  <si>
    <t xml:space="preserve"> სოფ. მარიამჯვარში სატუმბი სადგურის,რეზერვუარის  და მაგისტრალური  მილსადენის  მოწყობის  სამუშაოები</t>
  </si>
  <si>
    <t>18.07.2022-17.10.2022</t>
  </si>
  <si>
    <t>99/1</t>
  </si>
  <si>
    <t>შპს ,,თერგი"</t>
  </si>
  <si>
    <t>2022 წ.გადახდ,302.02013</t>
  </si>
  <si>
    <t>ქ.საგარეჯოში არსებული სასმელი წყლის დეკორატიული შადრევნების წყალმომარაგებისათვის  წყლის აღრიცხვის კვანძების მოწყობის საფასური</t>
  </si>
  <si>
    <t>წერილი #: 4944-24032023-07643; თარიღი: 24/03/2023</t>
  </si>
  <si>
    <t>შ.პ.ს. "საქართველოს გაერთიანებული წყალმომარაგების კომპანია"</t>
  </si>
  <si>
    <t>ქ.საგარეჯოში ს/კ55.12.63.000.015 მიმდებარედ ჭაბურღილის და 25მ.კუბ. სამარაგო კოშკურა რეზერვუარის მოწყობის სამუშაოები</t>
  </si>
  <si>
    <t>06.07.2022-5.10.2022</t>
  </si>
  <si>
    <t>93/2</t>
  </si>
  <si>
    <t>შპს შპს ჰიდროგეო</t>
  </si>
  <si>
    <t>შემოსავალი ხელშეკრულების პირობების დარღვევის გამო დაკისრებული პირგასამტეხლოდან(ს/კ 427721334 შპს "ჰიდროგეო")</t>
  </si>
  <si>
    <t>ს.მუხროვანის ჭაბურღილის და კოშკურა რეზერვუარის მოწყობის სამუშაოები</t>
  </si>
  <si>
    <t>05.07.2022-4.10.2022</t>
  </si>
  <si>
    <t>92/1</t>
  </si>
  <si>
    <t>საპროექტო-სახარჯთაღრიცხვო დოკუმენტაციის შედგენის მომსახურება</t>
  </si>
  <si>
    <t>22.02.-31.12.2023</t>
  </si>
  <si>
    <t>23/3</t>
  </si>
  <si>
    <t xml:space="preserve"> შპს   არიში</t>
  </si>
  <si>
    <t>ქვემო სამგორში და საგარეჯოში კოსტავას ქუჩაზე მდებარე ჭაბურღილებისთვის 120მ და 175მ ელ.სადენის შესყიდვა</t>
  </si>
  <si>
    <t>10.05.2023-18.05.2023</t>
  </si>
  <si>
    <t>შპს კონსტანტინე</t>
  </si>
  <si>
    <t>ინფრასტრუქტურული პროექტების საპროექტო და სამშენებლო სამუშაოების საზედამხედველო მომსახურება</t>
  </si>
  <si>
    <t>09.02.2022-21.03.2023</t>
  </si>
  <si>
    <t>სოფ.იორმუღანლოს სასმელი  წყლის მაგისტრალის  მილსადენის სარეაბილიტაციო  სამუშაოები</t>
  </si>
  <si>
    <t>19.05.2023-18.08.2023</t>
  </si>
  <si>
    <t>შპს ბილდინგ-დეველოპერ</t>
  </si>
  <si>
    <t>ს.უდაბნოში არსებული 5 საკანალიზაციო ჭის და მათი დამაკავშირებელი მილების გაწმენდის მომსახურების შესყიდვა</t>
  </si>
  <si>
    <t>05.06.2023-07.06.2023</t>
  </si>
  <si>
    <t>ი/მ გიორგი ვარაზიშვილი</t>
  </si>
  <si>
    <t>ქ. საგარეჯოს ე.წ წყლის სათავესთან წყლის აღრიცხვის  კვანძის მოწყობის ხარჯი</t>
  </si>
  <si>
    <t>წერილი #: 6815-21042023-31960; თარიღი: 21/04/2023</t>
  </si>
  <si>
    <t>სოფ კაკაბეთის წყლის სატუმბი სადგურის ელ ენერგიის სიმძლავრის 10-30კვტ გაზრდის საფასური</t>
  </si>
  <si>
    <t>წერილი #: 7653-03052023-73579; თარიღი: 03/05/2023</t>
  </si>
  <si>
    <t>11.04.2023-31.12.2023</t>
  </si>
  <si>
    <t>შპს შპს   ჰიდრო</t>
  </si>
  <si>
    <t>24.06.2023-06.08.2023</t>
  </si>
  <si>
    <t>21.02.2023-31.12.2023</t>
  </si>
  <si>
    <t>1167  9.07.2020</t>
  </si>
  <si>
    <t>557  18.03.2020</t>
  </si>
  <si>
    <t>განკ#2630 1.60, #2159 0.39, #926 0.27</t>
  </si>
  <si>
    <t>02 03 01</t>
  </si>
  <si>
    <t>გარე განათების ქსელის ექსპლოატაცია</t>
  </si>
  <si>
    <t>ქუჩების გარეგანათებაზე დახარჯული ელენერგიის ხარჯი. აბ № 9700153353,9610000312,9610000301,9610000121,9310008652,9701837917, 9310021290.</t>
  </si>
  <si>
    <t>წერილი #: 413-18012023-70640</t>
  </si>
  <si>
    <t>მუნიციპალიტეტის სოფლებსა და ქ.საგარეჯოში ქუჩების გარე განათების ტექნიკური მომსახურების შესყიდვა</t>
  </si>
  <si>
    <t>03.01.2023-31.12.2023</t>
  </si>
  <si>
    <t>1</t>
  </si>
  <si>
    <t>ი/მ ვახტანგი ესაიაშვილი</t>
  </si>
  <si>
    <t>02 03 02</t>
  </si>
  <si>
    <t>გარე განათების ახალი წერტილების მოწყობა</t>
  </si>
  <si>
    <t>ს.კაკაბეთში გარე განათების ქსელის სამუშაოების დასრულებისთვის  200მ ელ.სადენის შესყიდვა</t>
  </si>
  <si>
    <t>02.03.2023-7.03.2023</t>
  </si>
  <si>
    <t>27/1</t>
  </si>
  <si>
    <t>შპს  გეგა 2018</t>
  </si>
  <si>
    <t>მუნიციპალიტეტის ტერიტორიაზე გარე განათებების მოწყობის სამუშაოები</t>
  </si>
  <si>
    <t>16.09.2022-31.12.2022</t>
  </si>
  <si>
    <t>შპს ზ.ს</t>
  </si>
  <si>
    <t>15.06.2023             07.06.2023</t>
  </si>
  <si>
    <t>02 04</t>
  </si>
  <si>
    <t>ავარიული შენობების და სახლების რეაბილიტაცია</t>
  </si>
  <si>
    <t xml:space="preserve"> მრავალბინიანი  საცხოვრებელი  სახლის საპროექტო სახარჯთაღრიცხვო დოკუმენტაციის  შედგენის  ღირებულება</t>
  </si>
  <si>
    <t>27.05.2022-31.03.2023</t>
  </si>
  <si>
    <t>71</t>
  </si>
  <si>
    <t>ი/მ ლერი ვერძაძე</t>
  </si>
  <si>
    <t>ს.გომბორში მცხ.ჯულბაჯი დადაშოვასთვის საცხოვრებელი კონტეინერის შესყიდვა სარეზერვო ფონდი ბ52.52230339_მერის_ბრძ._02/02/2023</t>
  </si>
  <si>
    <t>09.01.2023-19.01.2023</t>
  </si>
  <si>
    <t>3/1</t>
  </si>
  <si>
    <t>შპს შპს New Energy</t>
  </si>
  <si>
    <t>მუნიციპალიტეტის  ბალანსზე არსებული  საგარეჯოში კახეთის გზატკეცილის N19 და  N19ა-ში  მდებარე მრავალბინიანი საცხოვრებელი სახლების სახურავის მოწყობის სამუშაოები</t>
  </si>
  <si>
    <t>04.11.2022-06.01.2023</t>
  </si>
  <si>
    <t>143</t>
  </si>
  <si>
    <t>შპს შპს სანი</t>
  </si>
  <si>
    <t>დასრულდა ეკ.27.46</t>
  </si>
  <si>
    <t>ქ.საგარეჯოში კახეთის გზატკეცილი#11 მრავალბინიანი საცხოვრებელი სახლის სარეაბილიტაციო სამუშაოები</t>
  </si>
  <si>
    <t>21.02.2023-20.06.2023</t>
  </si>
  <si>
    <t>22/8</t>
  </si>
  <si>
    <t>შპს მშენებელი 2016</t>
  </si>
  <si>
    <t> სოფელ მზისგულში ხანძრის შედეგად დაზარალებული გენადი ენუქიძის საცხოვრებელი სახლის იატაკის მასალის შესაძენად ბ52. 52230823  23/03/2023;  ბ52.522309428_მერის_ბრძ._04/04/2023</t>
  </si>
  <si>
    <t>03.05.2023-13.05.2023</t>
  </si>
  <si>
    <t xml:space="preserve"> შპს სანი</t>
  </si>
  <si>
    <t>ქ.საგარეჯოში ,კახეთის გზატკეცილი N7-ში მდებარე საცხოვრებელი კორპუსის სტიქიით დაზ.ბინების შეკეთება</t>
  </si>
  <si>
    <t>03.04.2023-03.07.2023</t>
  </si>
  <si>
    <t>შპს ჯიბისი ჯორჯია</t>
  </si>
  <si>
    <t>ს.უჯარმაში მცხ.სოციალურად დაუცველი მრავალშვილიანი დ.ნათობაშვილის საცხოვრებელი სახლის სახურავის მოწყობის სამუშაოები სარეზერვო ფონდი ბ52.522305112</t>
  </si>
  <si>
    <t>22.03.2023-26.04.2023</t>
  </si>
  <si>
    <t>35/1</t>
  </si>
  <si>
    <t>მუნიც.მიერ ინფრასრტუქტურული სამუშაების განსახორც.საჭირო საპროექტო-სახარჯთაღრიცხვო დუკუმენტაციის შედგენის მომსახურების შესყიდვას</t>
  </si>
  <si>
    <t>22.02.2023-31.12.2023</t>
  </si>
  <si>
    <t>შპს შპს   არიში</t>
  </si>
  <si>
    <t>ქალაქ საგარეჯოში კოსტავას ქ. 17 მრავალბინიანი საცხოვრებელი სახლის ფასადის რეაბილიტაციის სამუშაოები 2475_მთავრობის_განკ._29/12/2022</t>
  </si>
  <si>
    <t>21.02.2023-25.07.2023</t>
  </si>
  <si>
    <t>22/6</t>
  </si>
  <si>
    <t>შპს შპს გილემი</t>
  </si>
  <si>
    <t xml:space="preserve"> ქ. საგარეჯოში კოსტავას ქ. N14 მრავალბინიანი საცხოვრებელი სახლის ფასადისა და სახურავის რეაბილიტაცია 2475_მთავრობის_განკ._29/12/2022</t>
  </si>
  <si>
    <t>22/3</t>
  </si>
  <si>
    <t>ქ. საგარეჯოში კოსტავას ქ. N12 მრავალბინიანი საცხოვრებელი სახლის ფასადისა და სახურავის რეაბილიტაცია 2475_მთავრობის_განკ._29/12/2022</t>
  </si>
  <si>
    <t>21.02.2023-22.08.2023</t>
  </si>
  <si>
    <t>22/4</t>
  </si>
  <si>
    <t xml:space="preserve"> შპს გილემი</t>
  </si>
  <si>
    <t>ქალაქ საგარეჯოში კოსტავას ქ. 20 მრავალბინიანი საცხოვრებელი სახლის ფასადისა და სახურავის რეაბილიტაციის სამუშაოები #2475_განკ._29/12/2022</t>
  </si>
  <si>
    <t>22/5</t>
  </si>
  <si>
    <t xml:space="preserve"> ქალაქ საგარეჯოში კოსტავას ქ. 16 მრავალბინიანი საცხოვრებელი სახლის ფასადისა და სახურავის რეაბილიტაციის სამუშაოები 2475_მთავრობის_განკ._29/12/2022</t>
  </si>
  <si>
    <t>22</t>
  </si>
  <si>
    <t>ი/მ დავით ერქვანია</t>
  </si>
  <si>
    <t xml:space="preserve"> ქალაქ საგარეჯოში კოსტავას ქ. 18 მრავალბინიანი საცხოვრებელი სახლის ფასადისა და სახურავის რეაბილიტაციის სამუშაოების შესყიდვა.  2475_მთავრობის_განკ._29/12/2022</t>
  </si>
  <si>
    <t>22/7</t>
  </si>
  <si>
    <t>შპს შპს მშენებელი 2016</t>
  </si>
  <si>
    <t>სტიქიის მიერ დაზიანებული საცხოვრებელი სახლის სახურავის მოწყობის სამუშაოების საპროექტო-სახარჯთარღიცხვო დიკუმენტაციის შედგენა 330_მთავრობის_განკ._11/03/2021</t>
  </si>
  <si>
    <t>29.12.2021-31.12.2023</t>
  </si>
  <si>
    <t>შპს შპს ხუროთმოძღვარი &lt;ე და მ&gt;</t>
  </si>
  <si>
    <t>სტიქიის შედეგად დაზიანებული 10 მოქალაქის საცხოვრებელი სახლების შესაკეთებლად  საჭირო სამშენებლო მასალების შეძენა  330_მთავრობის_განკ._11/03/2021</t>
  </si>
  <si>
    <t>19.05.2023-03.06.2023</t>
  </si>
  <si>
    <t>64/1</t>
  </si>
  <si>
    <t>შპს შპს ეგო</t>
  </si>
  <si>
    <t>30.05.2023-09.06.2023</t>
  </si>
  <si>
    <t>განკ.#2475</t>
  </si>
  <si>
    <t>განკ.#604</t>
  </si>
  <si>
    <t>02 05</t>
  </si>
  <si>
    <t>კეთილმოწყობა</t>
  </si>
  <si>
    <t>02 05 01</t>
  </si>
  <si>
    <t>საზოგადოებრივი სივრცეების მოწყობა-რეაბილიტაცია, ექსპლოატაცია</t>
  </si>
  <si>
    <t>მუნიციპალიტეტის ტერიტორიაზე მდებარე უძრავი ქონების საკადასტრო აზომვითი-აგეგმვითი ნახაზების შედგენის მომსახურება</t>
  </si>
  <si>
    <t>17.02.2023-31.12.2023</t>
  </si>
  <si>
    <t>ი/მ თორნიკე ფართლაძე</t>
  </si>
  <si>
    <t xml:space="preserve"> მუნიციპალიტეტის ტერიტორიტორიაზე მდებარე უძრავი ქონების საკადასტრო აზომვითი-აგეგმვითი ნახაზების შედგენის მომსახურება</t>
  </si>
  <si>
    <t>06.03.2023-31.12.2023</t>
  </si>
  <si>
    <t>28</t>
  </si>
  <si>
    <t>საექსპერტო მომსახურება</t>
  </si>
  <si>
    <t>08.02.2023-31.12.2023</t>
  </si>
  <si>
    <t>15/2</t>
  </si>
  <si>
    <t>სსიპ "ლევან სამხარაულის სახ. სასამართლო ექსპ. ერ. ბიურო"</t>
  </si>
  <si>
    <t>M3 კატეგორიის 4 ერთეული ავტობუსის შესყიდვა</t>
  </si>
  <si>
    <t>07.06.2023-07.04.2023</t>
  </si>
  <si>
    <t>შპს ,,ჯი-თი გრუპ"</t>
  </si>
  <si>
    <t>02 06</t>
  </si>
  <si>
    <t>სარწყავი არხების და ნაპირსამაგრი ნაგებობების მოწყობა, რეაბილიტაცია და ექსპლოატაცია</t>
  </si>
  <si>
    <t>სოფელ ხაშმში სადრენაჟე არხის მოწყობის სამუშაოები</t>
  </si>
  <si>
    <t>03.01.2023-7.02.2023</t>
  </si>
  <si>
    <t>1/2</t>
  </si>
  <si>
    <t xml:space="preserve"> შპს  იო-ბულდინგი</t>
  </si>
  <si>
    <t>ქ.საგარეჯოში მ.კოსტავას ქუჩაზე სანიაღვრე არხების მოწყობის სამუშაოები</t>
  </si>
  <si>
    <t>19.10.2022-21.12.2022</t>
  </si>
  <si>
    <t>138</t>
  </si>
  <si>
    <t xml:space="preserve"> შპს მილენიუმ ბილდერს გრუპ</t>
  </si>
  <si>
    <t>2022 წ.გადახდ.158.97333</t>
  </si>
  <si>
    <t>შემოსავალი ხელშეკრულების პირობების დარღვევის გამო დაკისრებული პირგასამტეხლოდან(ს/კ 400118047 შპს "მილენიუმ ბილდერს გრუპი")</t>
  </si>
  <si>
    <t>02 07 01</t>
  </si>
  <si>
    <t>სასაფლაოების მოვლა შემოღობვა</t>
  </si>
  <si>
    <t>ს.უდაბნოს სოფლის სასაფლაოს შემოღობვის სამუშაოები</t>
  </si>
  <si>
    <t>27.01.2023-24.02.2023</t>
  </si>
  <si>
    <t>10</t>
  </si>
  <si>
    <t>შპს ევრო-ალიანსი</t>
  </si>
  <si>
    <t xml:space="preserve"> სოფელ თოხლიაურის სასაფლაოს შემოღობვის სამუშაოები</t>
  </si>
  <si>
    <t>9.01.2023-20.02.2023</t>
  </si>
  <si>
    <t>3</t>
  </si>
  <si>
    <t>შპს შპს რეხა 2020</t>
  </si>
  <si>
    <t xml:space="preserve">02 08 </t>
  </si>
  <si>
    <t>სოფლის მხარდაჭერის პროგრამა</t>
  </si>
  <si>
    <t>ს.გომბორში მემორიალის რეაბილიტაციის სამუშაოები N277_მთავრობის_განკ._15/02/2022</t>
  </si>
  <si>
    <t>25.08.2022-30.01.2023</t>
  </si>
  <si>
    <t>116/1</t>
  </si>
  <si>
    <t>ი/მ ალექსანდრე დიღმელაშვილი</t>
  </si>
  <si>
    <t>დასრ.</t>
  </si>
  <si>
    <t>ს.რუსიანში არსებული სკვერის რეაბილიტაცია N277_მთავრობის_განკ._15/02/2022</t>
  </si>
  <si>
    <t>დასრ.ეკ.2.44074</t>
  </si>
  <si>
    <t>ს.გორანასა და იკვლივ გორანსთან ხიდის მშენებლობა  N277_მთავრობის_განკ._15/02/2022</t>
  </si>
  <si>
    <t>დასრ.ეკ.1.17564</t>
  </si>
  <si>
    <t>ს.სასადილოსა და ს.ოთარაანის სასმელი წყლის სათავე ნაგებობის მოწყობის სამუშაოები N 277_მთავრობის_განკ._15/02/2022</t>
  </si>
  <si>
    <t>26.07.-25.10.2022</t>
  </si>
  <si>
    <t>104/2</t>
  </si>
  <si>
    <t>ი/მ ზურაბ დევდარიანი</t>
  </si>
  <si>
    <t>ს.ასკილაურში სასმელი წყლის სათავის რეაბილიტაცია  N277_მთავრობის_განკ._15/02/2022</t>
  </si>
  <si>
    <t>ს.ბოტკოში სასმელი წყლის სისტემის და სათავის რეაბილიტაციის სამუშაოები  N277_მთავრობის_განკ._15/02/2022</t>
  </si>
  <si>
    <t>ს.ვაშლიანში სასმელი წყლის სათავის რეაბილიტაციის სამუშაოები  N277_მთავრობის_განკ._15/02/2022</t>
  </si>
  <si>
    <t>ს.კოჭბანში სასმელი წყლის სათავისა და სისტემის რეაბილიტაციის სამუშაოები   N277_მთავრობის_განკ._15/02/2022</t>
  </si>
  <si>
    <t>ს.პალდოში სარწყავი სისტემის რეაბილიტაციის სამუშაოები</t>
  </si>
  <si>
    <t>2022წ.გადახდ.15.33489, სახ.7.15289,ადგ.8.182</t>
  </si>
  <si>
    <t>ს.უდაბნოს სასაფლაოს შემოღობვის სამუშაოები  277_მთავრობის_განკ._15/02/2022</t>
  </si>
  <si>
    <t>12.08.-8.12.2022</t>
  </si>
  <si>
    <t>110/2</t>
  </si>
  <si>
    <t>შპს შპს ბურღი</t>
  </si>
  <si>
    <t>ს.ყანდაურაში არსებული სკვერის რეაბილიტაციის სამუშაოები  277_მთავრობის_განკ._15/02/2022</t>
  </si>
  <si>
    <t xml:space="preserve"> ს.მარიამჯვარში შიდა გზების მოხრეშვის სამუშაოები #2476 29.12. განკ </t>
  </si>
  <si>
    <t>16.06.2023-31.07.2023</t>
  </si>
  <si>
    <t>76/1</t>
  </si>
  <si>
    <t>ი.მ. გელა რევაზიშვილი</t>
  </si>
  <si>
    <t>ს.ანთოკში შიდა გზების მოხრეშვის სამუშაოები</t>
  </si>
  <si>
    <t xml:space="preserve">საპროექტო-სახარჯთაღრიცხვო დოკუმენტაციის შედგენის მომსახურება #2476 29.12. განკ </t>
  </si>
  <si>
    <t>02.05.2023-01.06.2023</t>
  </si>
  <si>
    <t>ი.მ. დავით კავთუაშვილი</t>
  </si>
  <si>
    <t>წერილი #: 8849-24052023-69101; თარიღი: 24/05/2023</t>
  </si>
  <si>
    <t>წერილი #: 9214-31052023-66843; თარიღი: 31/05/2023</t>
  </si>
  <si>
    <t xml:space="preserve">საპროექტო-სახარჯთაღრიცხვო დოკუმენტაციის შედგენა #2476 29.12. განკ </t>
  </si>
  <si>
    <t>23.06.2023-07.08.2023</t>
  </si>
  <si>
    <t>54/1</t>
  </si>
  <si>
    <t>შპს ხუროთმოძღვარი &lt;ე და მ&gt;</t>
  </si>
  <si>
    <t>განკ.277 25.02.2022</t>
  </si>
  <si>
    <t>განკ.#506 0.0001, #45  2.01.2019-0.90410</t>
  </si>
  <si>
    <t>03 01 01</t>
  </si>
  <si>
    <t>დასუფთავება და ნარჩენების გატანა</t>
  </si>
  <si>
    <t>ქ.საგარეჯოსა და მუნიციპალიტეტის  სოფლების (გიორგიწმინდა,ნინოწმინდა,წყაროსთავი,პატარძეული, თოხლიაური და ხაშმიდან) საყოფაცხოვრებო ნარჩენების გატანა</t>
  </si>
  <si>
    <t>1/1</t>
  </si>
  <si>
    <t>შპს შპს პროგრესი- 2011</t>
  </si>
  <si>
    <t>ქ.საგარეჯოს ქუჩების დასუფთავება და დაგვა, წყალსადინარი არხების გაწმენდა,ცენტრალური  ქუჩებისა  და ტროტუარების თოვლისგან გაწმენდის  მომსახურება</t>
  </si>
  <si>
    <t>28.12.2022-31.12.2023</t>
  </si>
  <si>
    <t>168/1</t>
  </si>
  <si>
    <t xml:space="preserve"> დელეგირების ხელშეკრულების თანახმად უფლებამოსილებების (მიუსაფარი ცხოველების საკითხების გადაწყვეტა)ეფექტიანი განხორციელების მიზნით 2023 წლის საწევრო გადასახადი </t>
  </si>
  <si>
    <t>2.08.2021-განუსაზღვრელი ვადით</t>
  </si>
  <si>
    <t>ა(ა)იპ - მიუსაფარი შინაური ცხოველების მართვის კახეთის ინტერმუნიციპალური სააგენტო</t>
  </si>
  <si>
    <t>03 02</t>
  </si>
  <si>
    <t>მწვანე ნარგავების მოვლა-პატრონობა, განვითარება</t>
  </si>
  <si>
    <t xml:space="preserve"> სოფელ გიორგიწმინდაში ე.წ. ,,გუგუტიაანთ უბანში'' სკვერის მოწყობის სამუშაოები N2475_მთავრობის_განკ._29/12/2022</t>
  </si>
  <si>
    <t>18.11.2022-3.04.2023</t>
  </si>
  <si>
    <t>146/1</t>
  </si>
  <si>
    <t>შპს შპს პარამეტრი</t>
  </si>
  <si>
    <t>სკვერების მოწყობის საპროექტო სახარჯთაღრიცხვო დოკუმენტაციის შდგენის ღირებულება</t>
  </si>
  <si>
    <t xml:space="preserve"> საპროექტო-სახარჯთაღრიცხვო დოკუმენტაციის შედგენის მომსახურება</t>
  </si>
  <si>
    <t>შპს   არიში</t>
  </si>
  <si>
    <t>ს.ბადიაურში ადმინისტრაციული  შენობის ეზოსა და მიმდ.ტერიტორიაზე არსებული ბუჩქნარის გასანადგურებლად ჰერბიციდის შესყიდვა</t>
  </si>
  <si>
    <t>24.03.2023-31.03.2023</t>
  </si>
  <si>
    <t>37/1</t>
  </si>
  <si>
    <t xml:space="preserve"> შპს აგრონიმა</t>
  </si>
  <si>
    <t>50 ათას ლარზე მეტი ღირებულების სამშენებლო სამუშაოებზე საზედამხედველო მომსახურება</t>
  </si>
  <si>
    <t>30.11.2022-01.02.2023</t>
  </si>
  <si>
    <t>შპს ინტელექტი</t>
  </si>
  <si>
    <t>განკ.# 1419 16.08.2021</t>
  </si>
  <si>
    <t>03 03</t>
  </si>
  <si>
    <t>კაპიტალური დაბანდებანი დასუფთავების სფეროში</t>
  </si>
  <si>
    <t>04 02</t>
  </si>
  <si>
    <t>სკოლამდელი დაწესებულებების რეაბილიტაცია, მშენებლობა</t>
  </si>
  <si>
    <t xml:space="preserve"> სოფელ კაკაბეთში #1 სკოლამდელი აღზრდის დაწესებულების მშენებლობა  N75_მთავრობის_განკ._17/01/2022</t>
  </si>
  <si>
    <t>10.11.2022-26.12.2022</t>
  </si>
  <si>
    <t>131</t>
  </si>
  <si>
    <t>შპს ''მაგოილი''</t>
  </si>
  <si>
    <t>წინა წლებში გადახდ.582.88809, 2023 ვალდ.128.41828, 2024-ში 38.13164</t>
  </si>
  <si>
    <t>ს.კაკაბეთში #1 სკოლამდელი აღზრდის დაწესებულების ეზოს კეთილმოწყობის სამუშაოები</t>
  </si>
  <si>
    <t>14.12.2022-15.03.2023</t>
  </si>
  <si>
    <t>159</t>
  </si>
  <si>
    <t xml:space="preserve"> ს.დიდი ჩაილურის სკოლამდელი აღზრდის დაწესებულების  რეაბილიტაცია</t>
  </si>
  <si>
    <t>27.06.2022-26.09.2022</t>
  </si>
  <si>
    <t>87/4</t>
  </si>
  <si>
    <t xml:space="preserve"> შპს მეგა - 8</t>
  </si>
  <si>
    <t>შემოსავალი ხელშეკრულების პირობების დარღვევის გამო დაკისრებული პირგასამტეხლოდან(ს/კ437061803 შპს"მეგა-8")</t>
  </si>
  <si>
    <t>საჭირო საპროექტო-სახარჯთაღრიცხვო დოკუმენტაციის შედგენის მომსახურების შესყიდვა.</t>
  </si>
  <si>
    <t>ი.მ.ლერი ვერძაძე</t>
  </si>
  <si>
    <t>სასამართლოს მიერ დაკისრებული თანხის  გადახდა( სამონტაჟო სამუშაოების ღირებულება აბ #2113552178 -    1008.10ლ.,აბ. #2112576141 -  535.97ლ)</t>
  </si>
  <si>
    <t>სასამართლოს გადაწყვეტილება #: 2/219-2020; თარიღი: 27/01/2023</t>
  </si>
  <si>
    <t xml:space="preserve"> შპს სოკარ ჯორჯია გაზი</t>
  </si>
  <si>
    <t>ს.დიდი ჩაილურის სკოლამდელი აღზრდის დაწესებულებაში სასმელი წყლის ავზის შესაფუთად 2 ცალი (24კვ.მ) მინა-ბოჭკოს შესყიდვა</t>
  </si>
  <si>
    <t>20.02.-23.02.2023</t>
  </si>
  <si>
    <t>ს.დიდი ჩაილურის სკოლამდელი დაწესებულების ელ.მომარაგებისთვის 90მ ელ.სადენის შესყიდვა</t>
  </si>
  <si>
    <t>02.03.-7.03.2023</t>
  </si>
  <si>
    <t>შპს  გეგა 2019</t>
  </si>
  <si>
    <t>სოფელ კაკაბეთში #1 სკოლამდელი აღზრდის დაწესებულების მშენებლობის დასრულებისათვის საჭირო სამუშაოები</t>
  </si>
  <si>
    <t>30.12.2022-31.08.2023</t>
  </si>
  <si>
    <t>170</t>
  </si>
  <si>
    <t>შპს არქიტრავი</t>
  </si>
  <si>
    <t>საპროექტო-სახარჯთაღრიცხვო დოკუმენტაციის შედგენა</t>
  </si>
  <si>
    <t>ქ.საგარეჯოში ს/კ 55.12.52.126 მიწის ნაკვეთზე ბაღის ეზოს კეთილმოწყობის სამუშაოები</t>
  </si>
  <si>
    <t>11.07.2022-12.09.2022</t>
  </si>
  <si>
    <t>შპს მეტალ +</t>
  </si>
  <si>
    <t>ს.უდაბნოს სკოლამდელი აღზრდის დაწესებულების საქვაბის მოწყობის სამუშაოები</t>
  </si>
  <si>
    <t>ი/მ დავითი კავთუაშვილი</t>
  </si>
  <si>
    <t>განკ.1266  16.07.2021</t>
  </si>
  <si>
    <t>განკ.2502  17.12.2020</t>
  </si>
  <si>
    <t>განკ.#2630-0.00079 #2685-0.900</t>
  </si>
  <si>
    <t>04 04</t>
  </si>
  <si>
    <t>საჯარო სკოლების მცირე სარეაბილიტაციო სამუშაოები და მოსწავლეთა ტრანსპორტირების უზრუნველყოფა</t>
  </si>
  <si>
    <t>სკოლის მოსწავლეების სატრანსპორტო მომსახურება  განკ.#147  23.01.2023</t>
  </si>
  <si>
    <t>18.03.2022-31.12.2022</t>
  </si>
  <si>
    <t>35</t>
  </si>
  <si>
    <t xml:space="preserve"> შპს ბინუ</t>
  </si>
  <si>
    <t>11.01.-31.12.2023</t>
  </si>
  <si>
    <t>4</t>
  </si>
  <si>
    <t>განკ.#147  23.01.2023</t>
  </si>
  <si>
    <t>განკ.147  4.02.2021 რეაბ.</t>
  </si>
  <si>
    <t>05 01 03</t>
  </si>
  <si>
    <t>სპორტული ობიექტების აღჭურვა, რეაბილიტაცია, მშენებლობა</t>
  </si>
  <si>
    <t>ქ.საგარეჯოში ცენტრალური  სტადიონისთვის ინვენტარის შესყიდვა თანმდევი მონტაჟით</t>
  </si>
  <si>
    <t>14.12.2022-13.01.2023</t>
  </si>
  <si>
    <t>159/1</t>
  </si>
  <si>
    <t>შპს, ფერმო ფენსი</t>
  </si>
  <si>
    <t>საპროექტო სახარჯთაღრიცხვო დოკუმენტაციის შედგენის მომსახურება</t>
  </si>
  <si>
    <t>ქ.საგარეჯოში კახეთის გზატკეცილი#11-13-ში არსებული სპორტული მოედნის სარეაბილიტაციო სამუშაოები</t>
  </si>
  <si>
    <t>28.10.2022-30.12.2022</t>
  </si>
  <si>
    <t>შ.პ.ს. ,,პარმა"</t>
  </si>
  <si>
    <t>ქ.საგარეჯოში მერაბ კოსტავას ქუჩის N14-16-ში არსებული სპორტული მოედნის სარეაბილიტაციო სამუშაოები</t>
  </si>
  <si>
    <t>141/1</t>
  </si>
  <si>
    <t>ქ.საგარეჯოში კიკვიძის ქუჩაზე ე.წ. "ზვარეს" ტერიტორიაზე არს.სპორტული მოედნის  სარეაბილიტაციო სამუშაოები</t>
  </si>
  <si>
    <t>21.10.2022-23.12.2022</t>
  </si>
  <si>
    <t>139/2</t>
  </si>
  <si>
    <t xml:space="preserve"> შპს  პე-ბე</t>
  </si>
  <si>
    <t>ქ.საგარეჯოში ნ.ცხვედაძის ქუჩის მიმდებარედ არსებული სპორტული მოედნის რეაბილიტაციის სამუშაოები</t>
  </si>
  <si>
    <t>139/1</t>
  </si>
  <si>
    <t>ს.თოხლიაურში მინისტადიონის მოწყობის სამუშაოები</t>
  </si>
  <si>
    <t>12.12.2022-13.02.2023</t>
  </si>
  <si>
    <t>157</t>
  </si>
  <si>
    <t>შპს ფილ ვეი გრუპ</t>
  </si>
  <si>
    <t> სოფელ კაკაბეთში (კუპატაძეების უბანში) არსებული სპორტული მოედნის რეაბილიტაციის სამუშაოები</t>
  </si>
  <si>
    <t>30.12.2022-3108.2023</t>
  </si>
  <si>
    <t>170/1</t>
  </si>
  <si>
    <t>აიპ საგარეჯოს N105 კომპლექსური სასპორტო სკოლის შეკეთების  სამუშაოები</t>
  </si>
  <si>
    <t>13.12.2022-02.01.2023</t>
  </si>
  <si>
    <t>შპს მანგორი</t>
  </si>
  <si>
    <t>სპორტული მოედნების ინფრასტრუქტურული პროექტების საპროექტო და სამშენებლო სამუშაოების საზედამხედველო მომსახურება</t>
  </si>
  <si>
    <t>ს.უდაბნოში სპორტული დარბაზის მშენებლობის სამუშაოები</t>
  </si>
  <si>
    <t>19.12.2022-19.06.2023</t>
  </si>
  <si>
    <t>შპს შპს არქიტრავი</t>
  </si>
  <si>
    <t>გომბორში მინი სტადიონის მოწყობა განკ.#301 9.02.2023</t>
  </si>
  <si>
    <t>18.04.2023-18.07.2023</t>
  </si>
  <si>
    <t>შპს  პე-ბე</t>
  </si>
  <si>
    <t>22.02.2023-31.012.2023</t>
  </si>
  <si>
    <t xml:space="preserve">50 ათას ლარზე მეტი ღირებულების სამუშაოებზე საზედამხედვ.მომსახურება </t>
  </si>
  <si>
    <t>უჯარმის მინი სტადიონის მოწყობა განკ.#301 9.02.2023</t>
  </si>
  <si>
    <t>22.03.2023-21.06.2023</t>
  </si>
  <si>
    <t>35/2</t>
  </si>
  <si>
    <t>მარიამჯვარში მინი სტადიონის მოწყობა განკ.#301 9.02.2023</t>
  </si>
  <si>
    <t>35/3</t>
  </si>
  <si>
    <t>05 02 02</t>
  </si>
  <si>
    <t>კულტურის ობიექტების აღჭურვა, რეაბილიტაცია, მშენებლობა</t>
  </si>
  <si>
    <t>ს.ხაშმში მწერალ რ.ინანიშვილის სახლ-მუზეუმის რეკონსტრუქცია-აღდგენის სამუშაოები</t>
  </si>
  <si>
    <t>20.05.-31.12.2022</t>
  </si>
  <si>
    <t>67/1</t>
  </si>
  <si>
    <t>ქ.საგარეჯოს კულტურის სახლის გათბობა-ვენტილაციის მოწყობის სამუშაოები</t>
  </si>
  <si>
    <t>33</t>
  </si>
  <si>
    <t>შპს ინტექსი</t>
  </si>
  <si>
    <t>სოფ. ხაშმში რ. ინანიშვილის სახლ მუზეუმისთვის ახალი ელ.აღრიცხვის კვანძის მოწყობის ხარჯი</t>
  </si>
  <si>
    <t>წერილი #: 8664-23052023-13867; თარიღი: 23/05/2023</t>
  </si>
  <si>
    <t>კულტურის  ობიექტების  გაერთიანების სამხატვრო  სკოლის  ოთახების ჭერის  შეცვლა, ფანჯრის ღიობების  და  საპირფარეშოს  მოწყობის  სამუშაოები</t>
  </si>
  <si>
    <t>28.04.2023-02.06.2023</t>
  </si>
  <si>
    <t xml:space="preserve"> შპს ბილდინგერი</t>
  </si>
  <si>
    <t>06 01 02</t>
  </si>
  <si>
    <t>სოფლის ამბულატორიების ხელშეწყობა და ჯანდაცვის ობიექტების მშენებლობა-რეაბილიტაცია</t>
  </si>
  <si>
    <t>ს.გომბორში სსიპ საგანგანგებო სიტუაციების კორდინაციისა და გადაუდებელი დახმარ.ცენტრის შენობაში ცენტრ.გათბობის სისტემის მონტაჟის სამუშაოები</t>
  </si>
  <si>
    <t>13.01.2023-10.02.2023</t>
  </si>
  <si>
    <t>5/1</t>
  </si>
  <si>
    <t xml:space="preserve"> შპს ანგი-56</t>
  </si>
  <si>
    <t>განკ.#554</t>
  </si>
  <si>
    <t xml:space="preserve"> ქ.საგარეჯოში საზოგადოებრივი ჯანდაცვის ცენტრის შენობის მშენებლობის სამუშაოები</t>
  </si>
  <si>
    <t>09.12.2022-12.05.2023</t>
  </si>
  <si>
    <t xml:space="preserve">შემოსავალი ხელშეკრულების პირობების დარღვევის გამო დაკისრებული პირგასამტეხლოდან (ს/კ226517908 შპს ,,გარდაბნის  საგზაო სამმართველო") განკ.N2475 </t>
  </si>
  <si>
    <t>მუნიციპალიტეტის ტერიტორიაზე საგზაო უსაფრთხოების უზრუნველსაყოფად სიჩქარის შემზღუდავი ბარიერების შესყიდვა გზებზე დასაგებად</t>
  </si>
  <si>
    <t>შპს ნიკოკო</t>
  </si>
  <si>
    <t>შპს თერგი</t>
  </si>
  <si>
    <t>ს.ყანდაურისთვის 4 ცალი 5მ.კუბ.ტევადობის წყლის რეზერვუარის შესყიდვა</t>
  </si>
  <si>
    <t>ს.ბადიაურისთვის 1 ცალი 10მ.კუბ.ტევადობის წყლის რეზერვუარის შესყიდვა</t>
  </si>
  <si>
    <t xml:space="preserve"> შპს  გეგა 2018</t>
  </si>
  <si>
    <t>82/1</t>
  </si>
  <si>
    <t>საგარეჯოს  მუნიციპალიტეტის  სოფ ქვ. სამგორში არსებული ჭაბურღილის ელ ენერგიის მრიცხველის სიმძლავრის გაზრდის საფასური</t>
  </si>
  <si>
    <t>წერილი #: 13382-04082023-44184; თარიღი: 04/08/2023</t>
  </si>
  <si>
    <t>მუნიციპალიტეტის მოსახლეობის  ს/ წყლის რეგულარულად მიწოდების  უზრუნველსაყოფად სატვირთო  ავტომობილების  და მათი მძღოლების  მომსახურების შესყიდვა</t>
  </si>
  <si>
    <t>საგარეჯოს მუნიციპალიტეტის ქ. საგარეჯოში, რუსთაველის ქუჩა № 174 - ში მცხოვრები გრატიაშვილი ელენესა და სოფ. წყაროსთავში კერატიშვილი ნუნუს, სტიქიის შედეგად დაზიანებული საცხოვრებელი სახლების  შესაკეთებლად საჭირო მასალების შეძენა. 330_მთავრობის_განკ._11/03/2021</t>
  </si>
  <si>
    <t>ი/მ მერაბი თედიაშვილი</t>
  </si>
  <si>
    <t xml:space="preserve">ს.უდაბნოში სასაფლაოსთან მისასვლელი გზის მოწესრიგების სამუშაოები  #2476 29.12. განკ </t>
  </si>
  <si>
    <t xml:space="preserve"> ს.შიბლიანში შიდა გზების მოხრეშვის სამუშაოები  #2476 29.12. განკ </t>
  </si>
  <si>
    <t>88/3</t>
  </si>
  <si>
    <t>შპს ჰორიზონტი 23</t>
  </si>
  <si>
    <t xml:space="preserve">ს.ბადიაურში საბავშვო ბაღის ეზოს რეაბილიტაცია  #2476 29.12. განკ </t>
  </si>
  <si>
    <t xml:space="preserve">ს.თოხლიაურში ქუჩის ტრენაჟორების მოწყობის სამუშაოები  #2476 29.12. განკ </t>
  </si>
  <si>
    <t>შპს ბურჯი 2008</t>
  </si>
  <si>
    <t>შემოსავალი ხელშეკრულების პირობების დარღვევის გამო დაკისრებული პირგასამტეხლოდან(ს/კნ400019047 შპს შპს მეტალ +)</t>
  </si>
  <si>
    <t>სოფ. გომბორის წყალსადენის ქსელის რეაბილიტაცია</t>
  </si>
  <si>
    <t>შპს არგო 2012</t>
  </si>
  <si>
    <t>ს.თოხლიაურში ზ.გორგიაშვილის ხანძრის შედეგად დაზიანებული საცხოვრებელი სახლის რეაბილიტაცია  - სარეზერვო ფონდი ბ.52.52231313</t>
  </si>
  <si>
    <t>შპს სანი</t>
  </si>
  <si>
    <t xml:space="preserve">ს.ქვემო ლამბალოში სასაფლაოს შემოღობვის სამუშაოები  #2476 29.12. განკ </t>
  </si>
  <si>
    <t xml:space="preserve">ს.მანავში სკვერის მოწყობის სამუშაოები #2476 29.12. განკ </t>
  </si>
  <si>
    <t>94/1</t>
  </si>
  <si>
    <t>შპს ნიუქონსთრაქშენი</t>
  </si>
  <si>
    <t xml:space="preserve">ს.მანავში ტრენაჟორების მოწყობის სამუშაოები #2476 29.12. განკ </t>
  </si>
  <si>
    <t xml:space="preserve">ს.ზემო ლამბალოში სასაფლაოს შემოღობვის სამუშაოები #2476 29.12. განკ </t>
  </si>
  <si>
    <t xml:space="preserve">ს.მზისგულში სკვერის მოწყობის სამუშაოები  #2476 29.12. განკ </t>
  </si>
  <si>
    <t>107/2</t>
  </si>
  <si>
    <t xml:space="preserve"> შპს ევროტექნიკ</t>
  </si>
  <si>
    <t>შპს არიში</t>
  </si>
  <si>
    <t>მუნიციპალიტეტის მიერ ინფრასრტუქტურული სამუშაების განსახორციელებლად საჭირო საპროექტო-სახარჯთაღრიცხვო დუკუმენტაციის შედგენის მომსახურების შესყიდვას</t>
  </si>
  <si>
    <t>93/1</t>
  </si>
  <si>
    <t>საგარეჯოს მუნიციპალიტეტის ტერიტორიაზე არსებული გზების ორმულის შეკეთების სამუშაოების შესყიდვა.</t>
  </si>
  <si>
    <t xml:space="preserve">შემსყიდველი ორგანიზაციის ბალანსზე არსებული ვიდეოსათვალთვალო კამერების (სატრანსპორტო საშუალების სახელმწიფო ნომრის ამომცნობი და ზოგადი ხედვის) მოვლა პატრონობის მომსახურების შესყიდვა. </t>
  </si>
  <si>
    <t>115/1</t>
  </si>
  <si>
    <t>ი/მ სგიორგი ვარაზიშვილი</t>
  </si>
  <si>
    <t>შპს უნივერსალი 2020</t>
  </si>
  <si>
    <t xml:space="preserve"> შპს მნათობი 2013</t>
  </si>
  <si>
    <t>შპს გურუ ბილდერი</t>
  </si>
  <si>
    <t>ს.კაკაბეთში მცხ.დ.ოთიაშვილის სტიქიის შედეგად დაზიანებული საცხ.სახლის სახურავის რეაბილიტაციის სამუშაოები სარეზერვო ფონდი b52.522316054_მერის_ბრძ._09/06/2023</t>
  </si>
  <si>
    <t>78/1</t>
  </si>
  <si>
    <t>23.08.2023-30.06.2024</t>
  </si>
  <si>
    <t>07.06.2023-28.02.2026</t>
  </si>
  <si>
    <t>73/1</t>
  </si>
  <si>
    <t>შპს ,,ჯი-თი  გრუპ"</t>
  </si>
  <si>
    <t>13.07.2023-24.08.2023</t>
  </si>
  <si>
    <t>ი/მ იოსებ გელოვანი</t>
  </si>
  <si>
    <t xml:space="preserve">ს.ნინოწმინდაში სკვერის მოწყობის სამუშაოები#2476 29.12. განკ </t>
  </si>
  <si>
    <t xml:space="preserve">ს.წყაროსთავში ორი სასაფლაოს შემოღობვის სამუშაოები#2476 29.12. განკ </t>
  </si>
  <si>
    <t xml:space="preserve"> ს.წიწმატიანში  გარე განათების მოწყობის სამუშაოები #2476 29.12. განკ </t>
  </si>
  <si>
    <t>95/1</t>
  </si>
  <si>
    <t>შპს შიო-2012</t>
  </si>
  <si>
    <t xml:space="preserve">ს.ქეშალოში  გარე განათების მოწყობის სამუშაოები #2476 29.12. განკ </t>
  </si>
  <si>
    <t xml:space="preserve">ს.კაკაბეთში  გარე განათების მოწყობის სამუშაოები #2476 29.12. განკ </t>
  </si>
  <si>
    <t>95/4</t>
  </si>
  <si>
    <t>შპს დავითი 19</t>
  </si>
  <si>
    <t xml:space="preserve"> ს.დუზაგრამაში გარე განათების მოწყობის სამუშაოები #2476 29.12. განკ </t>
  </si>
  <si>
    <t xml:space="preserve"> ს.თულარში გარე განათების მოწყობის სამუშაოები #2476 29.12. განკ </t>
  </si>
  <si>
    <t xml:space="preserve"> ს.იორმუღანლოში გარე განათების მოწყობის სამუშაოები #2476 29.12. განკ </t>
  </si>
  <si>
    <t xml:space="preserve">ს.ხაშმში საბავშვო ბაღის ეზოს მოწყობის სამუშაოები #2476 29.12. განკ </t>
  </si>
  <si>
    <t xml:space="preserve">ს.სათაფლეში ქუჩის ტრენაჟორების მოწყობის სამუშაოები #2476 29.12. განკ </t>
  </si>
  <si>
    <t>21.08.2023-19.11.2023</t>
  </si>
  <si>
    <t>107/1</t>
  </si>
  <si>
    <t>ი/მ ზურაბი დევდარიანი</t>
  </si>
  <si>
    <t>ი/მ ლევანი ესაიაშვილი</t>
  </si>
  <si>
    <t>100/2</t>
  </si>
  <si>
    <t>04.08.2023-03.10.2023</t>
  </si>
  <si>
    <t>შპს შპს მშენებელი 1995</t>
  </si>
  <si>
    <t>13.07.2023-11.10.2023</t>
  </si>
  <si>
    <t>ი/მ ნოდარ ხებრელაშვილი</t>
  </si>
  <si>
    <t>10.07.2023-08.09.2023</t>
  </si>
  <si>
    <t>28.07.2023-29.12.2023</t>
  </si>
  <si>
    <t>შპს შპს ბიელი</t>
  </si>
  <si>
    <t>შპს, შპს ინტელექტი</t>
  </si>
  <si>
    <t>22.11.2022-24.01.2023</t>
  </si>
  <si>
    <t>შპს შპს გლობალ სტანდარტმშენი</t>
  </si>
  <si>
    <t>11.07.2023-10.10.2023</t>
  </si>
  <si>
    <t>27.02.2020-31.12.2021</t>
  </si>
  <si>
    <t xml:space="preserve"> ქ.საგარეჯოში მდებარე სპორტული დარბაზისთვის ძიუდოს ტატამის შესყიდვა</t>
  </si>
  <si>
    <t>შპს შპს  მე ვარ ძიუდო</t>
  </si>
  <si>
    <t>04.08.2023-04.09.2023</t>
  </si>
  <si>
    <t>100/1</t>
  </si>
  <si>
    <t>ქ.საგარეჯოს ცენტრალური სტადიონისთვის გათბობის ტუმბოს შესყიდვა</t>
  </si>
  <si>
    <t>შპს შპს უსტო</t>
  </si>
  <si>
    <t>01.09.2023-11.09.2023</t>
  </si>
  <si>
    <t>114/1</t>
  </si>
  <si>
    <t>ქ.საგარეჯოს ცენტრალურ სტადიონზე სათადარიგო მოთამაშეებისა და პერსონალისთვის სკამების მოწყობის სამუშაოები</t>
  </si>
  <si>
    <t xml:space="preserve"> შპს ჰორიზონტი 23</t>
  </si>
  <si>
    <t>04.09.2023-25.09.2023</t>
  </si>
  <si>
    <t>საგარეჯოს მუნიციპალიტეტის სოფ. გიორგიწმინდაში მინი სტადიონის მოწყობა</t>
  </si>
  <si>
    <t>29.06.2023-31.08.2023</t>
  </si>
  <si>
    <t>23.08.2023-30.01.2024</t>
  </si>
  <si>
    <t>15.03.2023-15.05.2023</t>
  </si>
  <si>
    <t>21.07.2023-19.09.2023</t>
  </si>
  <si>
    <t>სოფ. გიორგიწმინდაში საჯარო სკოლის ეზოს ღობის მოწყობის სამუშაოები</t>
  </si>
  <si>
    <t>სოფ. ქვემო სამგორში სკვერის მოწყობის სამუშაოები</t>
  </si>
  <si>
    <t>07.07.2023-05.10.2023</t>
  </si>
  <si>
    <t>21.08.2023-20.10.2023</t>
  </si>
  <si>
    <t>19.07.2023-17.10.2023</t>
  </si>
  <si>
    <t>სოფ. კაზლარში მოსაცდელის მოწყობის სამუშაოები N2476 განკ.</t>
  </si>
  <si>
    <t>სოფ. ზემო ბურდიანში სკვერის მოწყობის სამუშაოები N2476 განკ</t>
  </si>
  <si>
    <t>27.06.2023-11.08.2023</t>
  </si>
  <si>
    <t>04.08.2023-19.09.2023</t>
  </si>
  <si>
    <t>სოფ. ვერხვიანში სკვერის მოწყობის სამუშაოები</t>
  </si>
  <si>
    <t>სოფ. თულარში გზებზე საგზაო მოძრაობის სიჩქარის შემზღუდველი ბარიერების მონტაჟისა და სანიაღვრე არხების მოწყობის სამუშაოები</t>
  </si>
  <si>
    <t>07.07.2023-05.09.2023</t>
  </si>
  <si>
    <t>08.08.2023-07.11.2023</t>
  </si>
  <si>
    <t>14.07.2023-10.11.2023</t>
  </si>
  <si>
    <t>15.08.2023-31.12.2023</t>
  </si>
  <si>
    <t>04.09.2023-31.12.2023</t>
  </si>
  <si>
    <t>01.09.2023-06.09.2023</t>
  </si>
  <si>
    <t>04.07.2023-31.12.2023</t>
  </si>
  <si>
    <t>ი/მ შოთა კვირიაშვილი</t>
  </si>
  <si>
    <t>10.07.2023-31.12.2023</t>
  </si>
  <si>
    <t>28.06.2023-04.07.2023</t>
  </si>
  <si>
    <t>102/1</t>
  </si>
  <si>
    <t>16.06.2023-16.07.2023</t>
  </si>
  <si>
    <t xml:space="preserve">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</t>
  </si>
  <si>
    <t>განკ.301 9.025.2023</t>
  </si>
  <si>
    <t>განკ.#75 17.01.2022</t>
  </si>
  <si>
    <t>2022 გადახდილია 248.95744</t>
  </si>
  <si>
    <t>განკ.#301</t>
  </si>
  <si>
    <t>განკ.#168 5.02.2021</t>
  </si>
  <si>
    <t>განკ.#2752  31.12.2019</t>
  </si>
  <si>
    <t>ს.პალდოში გარე განათების მოწყობის სამუშაოები  განკ.#2476 29.12. 2022</t>
  </si>
  <si>
    <t>განკ.#2475 29.12.2022</t>
  </si>
  <si>
    <t>დასრ. ეკ.ადგ.441.01, სახ.1.70725</t>
  </si>
  <si>
    <t>2022 წ.გადახდ.25.72960</t>
  </si>
  <si>
    <t>2022 წ.გადახდ.22.22640</t>
  </si>
  <si>
    <t>განკ.#27   9.01.2020 რეაბ</t>
  </si>
  <si>
    <t>განკ.#557  18.03.2020</t>
  </si>
  <si>
    <t>განკ.#301  9.02.2023</t>
  </si>
  <si>
    <t>შპს პარამეტრი</t>
  </si>
  <si>
    <t>98/1</t>
  </si>
  <si>
    <t>95/2</t>
  </si>
  <si>
    <t>მუნიციპალიტეტის მიერ განსახორციელებელი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</t>
  </si>
  <si>
    <t xml:space="preserve"> სოფელ პატარძეულში ე.წ. "უსტიაანთ უბნის" გზის მოასფალტება 2475_მთავრობის_განკ._29/12/2022</t>
  </si>
  <si>
    <t xml:space="preserve"> ინფრასტრუქტურულ ობიექტებზე  სამშენებლო სამუშაოების საზედამხედველო მომსახურების საზედამხედველო მომსახურება. </t>
  </si>
  <si>
    <t>განკ#2475 29.12.2022</t>
  </si>
  <si>
    <t xml:space="preserve"> სოფ. უდაბნოში არსებული 5 (ხუთი) საკანალიზაციო ჭის და მათი დამაკავშირებელი მილების გაწმენდის მომსახურების სახელმწიფო შესყიდვა.</t>
  </si>
  <si>
    <t xml:space="preserve"> სოფ.  ვერხვიანში წყალმომარაგების  მაგისტრალის  ქსელის  რეაბილიტაცია  75_მთავრობის_განკ._17/01/2022</t>
  </si>
  <si>
    <t>2022 წ.გადახდ.312.69338 მ.შ.293.12564 სახ.დაფ.</t>
  </si>
  <si>
    <t>15.07.-14.10.2022</t>
  </si>
  <si>
    <t>19.09.-19.12.2022</t>
  </si>
  <si>
    <t>მუნიციპალიტეტის ტერიტორიაზე სასმელი წყლის ამქაჩი ტუმბოების ან/და მათი კომპლექტის(ახლით) ან/და ხარჯთაღ.გათვ. რომელიმე მოწყო/საქონლისა შეძენა მონტაჟის სამუშაოები</t>
  </si>
  <si>
    <t>მუნიც.ბალანსზე არიცხული სასმ.წყლის შადრევნებისთვის 10 ცალი მცირეფასიანი ონკანის შესყიდვა</t>
  </si>
  <si>
    <t xml:space="preserve"> მუნიციპალიტეტის ტერიტორიაზე საკანალიზაციო სისტემის ქსელის გაწმენდითი მომსახურება</t>
  </si>
  <si>
    <t xml:space="preserve"> მუნიციპალიტეტის ტერიტორიაზე არსებული სასმელი წყლის სისტემების მომსახურებისთვის საჭირო მასალების შესყიდვა.</t>
  </si>
  <si>
    <t xml:space="preserve"> ინფრასტრუქტურულ ობიექტებზე სამშენებლო სამუშაოების საზედამხედველო მომსახურება. </t>
  </si>
  <si>
    <t xml:space="preserve"> სოფელ უჯარმაში სათავე კვანძის დრენაჟისა და მაგისტრალური მილსადენის მოწყობის სამუშაოების შესყიდვა.განკ.#301 9.02.2023 </t>
  </si>
  <si>
    <t>სოფელ კაკაბეთის სატუმბი სადგური და მაგისტრალური მილსადენის რეაბილიტაციის სამუშაოების შესყიდვა.</t>
  </si>
  <si>
    <t>მუნიციპალიტეტის მიერ განსახორციელებელი 50 000 ლარზე მეტი ღირებულების ინფრასტრუქტურული ობიექტების სამშენებლო სამუშაოებზე  საზედამხედველო მომსახურების გაწევა</t>
  </si>
  <si>
    <t>27,02,2020-27.02.2021</t>
  </si>
  <si>
    <t xml:space="preserve"> საპროექტო-სახარჯთაღრიცხვო დოკუმენტაციის შედგენის მომსახურების შესყიდვა.</t>
  </si>
  <si>
    <t xml:space="preserve"> ინფრასტრუქტურულ ობიექტებზე  სამშენებლო სამუშაოების საზედამხედველო მომსახურება. </t>
  </si>
  <si>
    <t>ქ.საგარეჯოს  კახეთის გზატკეცილი N13-ში მრავალბინიანი საცხოვრებელი სახლის სახურავის სარეაბილიტაცო სამუშაოები 2475_მთავრობის_განკ._29/12/2022</t>
  </si>
  <si>
    <t>ქ.საგარეჯოს  კახეთის გზატკეცილი N15-ში მდებარე მრავალბინიანი საცხოვრებელი სახლის ფასადისა და სახურავის სარეაბილიტაცო სამუშაოები 2475_მთავრობის_განკ._29/12/2022</t>
  </si>
  <si>
    <t>50 000 ლარზე მეტი ღირებულების ინფრასტრუქტურული ობიექტების სამშენებლო სამუშაოებზე  საზედამხედველო მომსახურების გაწევა</t>
  </si>
  <si>
    <t xml:space="preserve"> სამშენებლო სამუშაოების საზედამხედველო მომსახურების საზედამხედველო მომსახურება. </t>
  </si>
  <si>
    <t xml:space="preserve"> სოფელ მზისგულში სანიაღვრე არხების  მოწყობის სახელმწიფო შესყიდვა </t>
  </si>
  <si>
    <t xml:space="preserve">  სოფ. კაკაბეთში გარე განათების ახალი ელ.აღრიცხვის კვანძის მოწყობის ხარჯი</t>
  </si>
  <si>
    <t xml:space="preserve">  სოფ შიბლიანში გარე განათების  2 ც. ელ აღრიცხვის კვანძის მოწყობის ხარჯი</t>
  </si>
  <si>
    <t xml:space="preserve"> სოფელ გომბორში სკვერის მოწყობის სამუშაოები,  სოფელ გორანაში/ბოტკოში (გაერთიანებული ხიდის რეაბილიტაციის სამუშაოები,    სოფელ ვაშლიანში შიდა გზების მოხრეშვის სამუშაოები,   სოფელ ირკვლივ გორანაში სასაფლაოს შემოღობვის სამუშაოები,  სოფელ უჯარმაში სანიაღვრე არხის რეაბილიტაციის სამუშაოები. </t>
  </si>
  <si>
    <t xml:space="preserve"> სოფლებში რუსიანში, ვერონაში, ასკილაურში, პალდოში, მუხროვანსა და იკვლივგორანაში სასმელი წყლის რეაბილიტაციის სამუშაოები განკ.#2476 29.12. 2022</t>
  </si>
  <si>
    <t xml:space="preserve"> სოფელ  კოჭბაანში გარე განათების მოწყობის სამუშაოები,   სოფელ ოთარაანთში გარე განათების მოწყობის სამუშაოები,   სოფელ სასადილოში  გარე განათების მოწყობის სამუშაოები,   სოფელ  პატარძეულში  გარე განათების მოწყობის სამუშაოები.  განკ.#2476 29.12. 2022</t>
  </si>
  <si>
    <t xml:space="preserve"> სოფელ დიდ ჩაილურში სკვერის მოწყობის სამუშაოები,  სოფელ პატარა ჩაილურში ღია საჭიდაო მოედნის  მოწყობის  სამუშაოები. განკ.#2476 29.12. 2022</t>
  </si>
  <si>
    <t>სოფელ ზემო ყანდაურაში ქუჩის  ტრენაჟორების მოწყობის სამუშაოების,   სოფელ ქვემო ყანდაურაში ქუჩის  ტრენაჟორების მოწყობის სამუშაოები  განკ.#2476 29.12. 2022</t>
  </si>
  <si>
    <t>წყაროსთავის "ბეჟიტაანთ უბანში" სკვერის მოწყობა</t>
  </si>
  <si>
    <t xml:space="preserve">ინფრასტრუქტურულ ობიექტებზე  სამშენებლო სამუშაოების საზედამხედველო მომსახურების საზედამხედველო მომსახურება. </t>
  </si>
  <si>
    <t xml:space="preserve"> სოფელ პატარძეულში, „გმირთა სავანეს“ რეაბილიტაციის სამუშაოების შესყიდვა.</t>
  </si>
  <si>
    <t xml:space="preserve"> ქალაქ საგარეჯოში რუსთაველის ქუჩა N 178-ის ეზოში სკვერის მოწყობის სამუშაოების შესყიდვა.</t>
  </si>
  <si>
    <t xml:space="preserve"> სოფელ შიბლიანიში სკვერის მოწყობის სამუშაოების შესყიდვა.</t>
  </si>
  <si>
    <t xml:space="preserve"> 50 000 ლარზე მეტი ღირებულების ინფრასტრუქტურული ობიექტების სამშენებლო სამუშაოებზე  საზედამხედველო მომსახურების გაწევა</t>
  </si>
  <si>
    <t xml:space="preserve">ინფრასტრუქტურულ ობიექტებზე,  სამშენებლო სამუშაოების საზედამხედველო  მომსახურება. </t>
  </si>
  <si>
    <t xml:space="preserve"> 50000-ზე მეტი ღირებულების ინფრასტრუქტურულ სამშენებლო  სამუშაოებზე საზედამხედველო მომსახურება (საზ ჯანდაცვის ცენტრის მშენებლობა)</t>
  </si>
  <si>
    <t>21.07.-18.08.2023</t>
  </si>
  <si>
    <t xml:space="preserve"> სოფელ დიდ ჩაილურში გმირთა მემორიალის რეაბილიტაციის სამუშაოების შესყიდვა.</t>
  </si>
  <si>
    <t xml:space="preserve"> სოფელ ბადიაურში გმირთა მემორიალის რეაბილიტაციის სამუშაოების შესყიდვა</t>
  </si>
  <si>
    <t>28.07-18.08.2023</t>
  </si>
  <si>
    <t xml:space="preserve">4 ავტობუსის    სახელმწიფო შესყიდვა </t>
  </si>
  <si>
    <t>14.07.-31.12.2023</t>
  </si>
  <si>
    <t>09.08.2023-31.08.2026</t>
  </si>
  <si>
    <t>28.06.-19.10.2023</t>
  </si>
  <si>
    <t>31.07.-14.08.2023</t>
  </si>
  <si>
    <t>22.06.-16.11.2023</t>
  </si>
  <si>
    <t>22.06.-19.10.2023</t>
  </si>
  <si>
    <t xml:space="preserve">ინფრასტრუქტურულ ობიექტებზე  სამშენებლო სამუშაოების საზედამხედველო  მომსახურება. </t>
  </si>
  <si>
    <t>საგარეჯოს მუნიციპაალიტეტის 2023 წლის სამი კვარტლის ბიუჯეტით  გათვალისწინებული ინფრასტრუქტურულ პროგრამაში გათვალისწინებული პროცედურების შესახებ</t>
  </si>
  <si>
    <t>სამი კვარტლის გეგმა</t>
  </si>
  <si>
    <t>სამი კვარტლის.დაფინან.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</si>
</sst>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"/>
    <numFmt numFmtId="166" formatCode="0.00000;[Red]0.00000"/>
    <numFmt numFmtId="167" formatCode="0.0000"/>
    <numFmt numFmtId="168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Sylfaen"/>
      <family val="1"/>
      <charset val="204"/>
    </font>
    <font>
      <sz val="11"/>
      <color indexed="8"/>
      <name val="Calibri"/>
      <family val="2"/>
    </font>
    <font>
      <sz val="8"/>
      <name val="Sylfaen"/>
      <family val="1"/>
      <charset val="204"/>
    </font>
    <font>
      <b/>
      <sz val="8"/>
      <color indexed="8"/>
      <name val="Sylfaen"/>
      <family val="1"/>
      <charset val="204"/>
    </font>
    <font>
      <b/>
      <sz val="8"/>
      <name val="Sylfaen"/>
      <family val="1"/>
      <charset val="204"/>
    </font>
    <font>
      <sz val="8"/>
      <color theme="1"/>
      <name val="Sylfaen"/>
      <family val="1"/>
      <charset val="204"/>
    </font>
    <font>
      <sz val="8"/>
      <color rgb="FF000000"/>
      <name val="Sylfaen"/>
      <family val="1"/>
      <charset val="204"/>
    </font>
    <font>
      <sz val="8"/>
      <color rgb="FF222222"/>
      <name val="Sylfaen"/>
      <family val="1"/>
      <charset val="204"/>
    </font>
    <font>
      <b/>
      <sz val="8"/>
      <color theme="1"/>
      <name val="Sylfaen"/>
      <family val="1"/>
      <charset val="204"/>
    </font>
    <font>
      <sz val="8"/>
      <color rgb="FFFF0000"/>
      <name val="Sylfaen"/>
      <family val="1"/>
      <charset val="204"/>
    </font>
    <font>
      <sz val="10"/>
      <name val="Arial"/>
      <family val="2"/>
      <charset val="204"/>
    </font>
    <font>
      <sz val="8"/>
      <color rgb="FF363636"/>
      <name val="Sylfaen"/>
      <family val="1"/>
      <charset val="204"/>
    </font>
    <font>
      <b/>
      <sz val="8"/>
      <color rgb="FF222222"/>
      <name val="Sylfaen"/>
      <family val="1"/>
      <charset val="204"/>
    </font>
    <font>
      <b/>
      <sz val="8"/>
      <color rgb="FF363636"/>
      <name val="Sylfaen"/>
      <family val="1"/>
      <charset val="204"/>
    </font>
    <font>
      <sz val="8"/>
      <color rgb="FF222222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2" fillId="0" borderId="0"/>
  </cellStyleXfs>
  <cellXfs count="204">
    <xf numFmtId="0" fontId="0" fillId="0" borderId="0" xfId="0"/>
    <xf numFmtId="0" fontId="2" fillId="2" borderId="0" xfId="1" applyFont="1" applyFill="1"/>
    <xf numFmtId="164" fontId="5" fillId="2" borderId="1" xfId="1" applyNumberFormat="1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1" xfId="3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left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/>
    <xf numFmtId="164" fontId="7" fillId="2" borderId="1" xfId="3" applyNumberFormat="1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vertical="top" wrapText="1" readingOrder="1"/>
    </xf>
    <xf numFmtId="164" fontId="9" fillId="2" borderId="1" xfId="0" applyNumberFormat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1" xfId="1" applyNumberFormat="1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wrapText="1"/>
    </xf>
    <xf numFmtId="164" fontId="10" fillId="2" borderId="1" xfId="1" applyNumberFormat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wrapText="1"/>
    </xf>
    <xf numFmtId="164" fontId="7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wrapText="1"/>
    </xf>
    <xf numFmtId="0" fontId="2" fillId="2" borderId="4" xfId="1" applyNumberFormat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wrapText="1"/>
    </xf>
    <xf numFmtId="0" fontId="4" fillId="2" borderId="1" xfId="0" applyNumberFormat="1" applyFont="1" applyFill="1" applyBorder="1" applyAlignment="1">
      <alignment vertical="top" wrapText="1" readingOrder="1"/>
    </xf>
    <xf numFmtId="0" fontId="8" fillId="2" borderId="2" xfId="0" applyNumberFormat="1" applyFont="1" applyFill="1" applyBorder="1" applyAlignment="1">
      <alignment vertical="top" wrapText="1" readingOrder="1"/>
    </xf>
    <xf numFmtId="164" fontId="4" fillId="2" borderId="1" xfId="3" applyNumberFormat="1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left" wrapText="1"/>
    </xf>
    <xf numFmtId="164" fontId="8" fillId="2" borderId="1" xfId="1" applyNumberFormat="1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 readingOrder="1"/>
    </xf>
    <xf numFmtId="164" fontId="6" fillId="2" borderId="1" xfId="2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vertical="center" wrapText="1"/>
    </xf>
    <xf numFmtId="164" fontId="8" fillId="2" borderId="1" xfId="1" applyNumberFormat="1" applyFont="1" applyFill="1" applyBorder="1" applyAlignment="1">
      <alignment horizontal="center" vertical="top" wrapText="1" readingOrder="1"/>
    </xf>
    <xf numFmtId="164" fontId="9" fillId="2" borderId="1" xfId="0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horizontal="left" vertical="center"/>
    </xf>
    <xf numFmtId="1" fontId="8" fillId="2" borderId="1" xfId="1" applyNumberFormat="1" applyFont="1" applyFill="1" applyBorder="1" applyAlignment="1">
      <alignment horizontal="center" vertical="top" wrapText="1" readingOrder="1"/>
    </xf>
    <xf numFmtId="0" fontId="8" fillId="2" borderId="1" xfId="1" applyNumberFormat="1" applyFont="1" applyFill="1" applyBorder="1" applyAlignment="1">
      <alignment horizontal="center" vertical="top" wrapText="1" readingOrder="1"/>
    </xf>
    <xf numFmtId="164" fontId="11" fillId="2" borderId="1" xfId="1" applyNumberFormat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horizontal="center" wrapText="1"/>
    </xf>
    <xf numFmtId="164" fontId="7" fillId="2" borderId="0" xfId="0" applyNumberFormat="1" applyFont="1" applyFill="1" applyAlignment="1">
      <alignment horizontal="left" wrapText="1"/>
    </xf>
    <xf numFmtId="1" fontId="7" fillId="2" borderId="1" xfId="1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/>
    <xf numFmtId="164" fontId="2" fillId="2" borderId="3" xfId="1" applyNumberFormat="1" applyFont="1" applyFill="1" applyBorder="1" applyAlignment="1">
      <alignment wrapText="1"/>
    </xf>
    <xf numFmtId="164" fontId="7" fillId="2" borderId="3" xfId="3" applyNumberFormat="1" applyFont="1" applyFill="1" applyBorder="1" applyAlignment="1">
      <alignment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top" wrapText="1" readingOrder="1"/>
    </xf>
    <xf numFmtId="164" fontId="8" fillId="2" borderId="1" xfId="1" applyNumberFormat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/>
    <xf numFmtId="164" fontId="2" fillId="2" borderId="1" xfId="0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 applyProtection="1">
      <alignment horizontal="left" vertical="center" wrapText="1"/>
      <protection locked="0"/>
    </xf>
    <xf numFmtId="164" fontId="8" fillId="2" borderId="1" xfId="3" applyNumberFormat="1" applyFont="1" applyFill="1" applyBorder="1" applyAlignment="1">
      <alignment vertical="top" wrapText="1" readingOrder="1"/>
    </xf>
    <xf numFmtId="164" fontId="8" fillId="2" borderId="1" xfId="3" applyNumberFormat="1" applyFont="1" applyFill="1" applyBorder="1" applyAlignment="1">
      <alignment horizontal="left" vertical="center" wrapText="1"/>
    </xf>
    <xf numFmtId="1" fontId="2" fillId="2" borderId="7" xfId="1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/>
    <xf numFmtId="164" fontId="7" fillId="2" borderId="1" xfId="3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vertical="top" wrapText="1" readingOrder="1"/>
    </xf>
    <xf numFmtId="164" fontId="4" fillId="2" borderId="1" xfId="2" applyNumberFormat="1" applyFont="1" applyFill="1" applyBorder="1" applyAlignment="1">
      <alignment horizontal="right" wrapText="1"/>
    </xf>
    <xf numFmtId="164" fontId="4" fillId="2" borderId="1" xfId="2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wrapText="1"/>
    </xf>
    <xf numFmtId="1" fontId="5" fillId="2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left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left" wrapText="1"/>
    </xf>
    <xf numFmtId="164" fontId="4" fillId="2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 readingOrder="1"/>
    </xf>
    <xf numFmtId="164" fontId="7" fillId="2" borderId="1" xfId="3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/>
    <xf numFmtId="164" fontId="7" fillId="2" borderId="1" xfId="5" applyNumberFormat="1" applyFont="1" applyFill="1" applyBorder="1" applyAlignment="1">
      <alignment horizontal="left" vertical="center" wrapText="1"/>
    </xf>
    <xf numFmtId="0" fontId="8" fillId="2" borderId="3" xfId="1" applyNumberFormat="1" applyFont="1" applyFill="1" applyBorder="1" applyAlignment="1">
      <alignment horizontal="center" vertical="top" wrapText="1" readingOrder="1"/>
    </xf>
    <xf numFmtId="0" fontId="7" fillId="2" borderId="1" xfId="3" applyNumberFormat="1" applyFont="1" applyFill="1" applyBorder="1" applyAlignment="1">
      <alignment wrapText="1"/>
    </xf>
    <xf numFmtId="0" fontId="8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center" wrapText="1"/>
    </xf>
    <xf numFmtId="165" fontId="2" fillId="2" borderId="0" xfId="0" applyNumberFormat="1" applyFont="1" applyFill="1"/>
    <xf numFmtId="1" fontId="2" fillId="2" borderId="0" xfId="0" applyNumberFormat="1" applyFont="1" applyFill="1"/>
    <xf numFmtId="0" fontId="8" fillId="2" borderId="9" xfId="0" applyNumberFormat="1" applyFont="1" applyFill="1" applyBorder="1" applyAlignment="1">
      <alignment vertical="top" wrapText="1" readingOrder="1"/>
    </xf>
    <xf numFmtId="1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167" fontId="2" fillId="2" borderId="0" xfId="0" applyNumberFormat="1" applyFont="1" applyFill="1"/>
    <xf numFmtId="49" fontId="7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0" fontId="7" fillId="2" borderId="1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wrapText="1"/>
    </xf>
    <xf numFmtId="164" fontId="7" fillId="2" borderId="3" xfId="3" applyNumberFormat="1" applyFont="1" applyFill="1" applyBorder="1" applyAlignment="1">
      <alignment horizontal="center" wrapText="1"/>
    </xf>
    <xf numFmtId="164" fontId="7" fillId="2" borderId="4" xfId="3" applyNumberFormat="1" applyFont="1" applyFill="1" applyBorder="1" applyAlignment="1">
      <alignment horizont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left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 readingOrder="1"/>
    </xf>
    <xf numFmtId="0" fontId="8" fillId="2" borderId="5" xfId="0" applyNumberFormat="1" applyFont="1" applyFill="1" applyBorder="1" applyAlignment="1">
      <alignment vertical="top" wrapText="1" readingOrder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top" wrapText="1" readingOrder="1"/>
    </xf>
    <xf numFmtId="0" fontId="9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left" vertical="center" wrapText="1" readingOrder="1"/>
    </xf>
    <xf numFmtId="0" fontId="8" fillId="2" borderId="8" xfId="0" applyNumberFormat="1" applyFont="1" applyFill="1" applyBorder="1" applyAlignment="1">
      <alignment vertical="top" wrapText="1" readingOrder="1"/>
    </xf>
    <xf numFmtId="165" fontId="2" fillId="2" borderId="0" xfId="1" applyNumberFormat="1" applyFont="1" applyFill="1" applyBorder="1"/>
    <xf numFmtId="165" fontId="2" fillId="2" borderId="0" xfId="1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/>
    <xf numFmtId="0" fontId="2" fillId="2" borderId="0" xfId="0" applyFont="1" applyFill="1" applyBorder="1"/>
    <xf numFmtId="1" fontId="5" fillId="2" borderId="3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wrapText="1"/>
    </xf>
    <xf numFmtId="164" fontId="2" fillId="2" borderId="4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top" wrapText="1" readingOrder="1"/>
    </xf>
    <xf numFmtId="164" fontId="8" fillId="2" borderId="4" xfId="0" applyNumberFormat="1" applyFont="1" applyFill="1" applyBorder="1" applyAlignment="1">
      <alignment horizontal="center" vertical="top" wrapText="1" readingOrder="1"/>
    </xf>
    <xf numFmtId="164" fontId="2" fillId="2" borderId="7" xfId="1" applyNumberFormat="1" applyFont="1" applyFill="1" applyBorder="1" applyAlignment="1">
      <alignment horizont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top" wrapText="1" readingOrder="1"/>
    </xf>
    <xf numFmtId="0" fontId="7" fillId="2" borderId="3" xfId="1" applyNumberFormat="1" applyFont="1" applyFill="1" applyBorder="1" applyAlignment="1">
      <alignment horizontal="center" vertical="center"/>
    </xf>
    <xf numFmtId="0" fontId="7" fillId="2" borderId="4" xfId="1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top" wrapText="1" readingOrder="1"/>
    </xf>
    <xf numFmtId="0" fontId="8" fillId="2" borderId="4" xfId="0" applyNumberFormat="1" applyFont="1" applyFill="1" applyBorder="1" applyAlignment="1">
      <alignment horizontal="center" vertical="top" wrapText="1" readingOrder="1"/>
    </xf>
    <xf numFmtId="164" fontId="7" fillId="2" borderId="3" xfId="3" applyNumberFormat="1" applyFont="1" applyFill="1" applyBorder="1" applyAlignment="1">
      <alignment horizontal="center" vertical="center" wrapText="1"/>
    </xf>
    <xf numFmtId="164" fontId="7" fillId="2" borderId="7" xfId="3" applyNumberFormat="1" applyFont="1" applyFill="1" applyBorder="1" applyAlignment="1">
      <alignment horizontal="center" vertical="center" wrapText="1"/>
    </xf>
    <xf numFmtId="164" fontId="7" fillId="2" borderId="4" xfId="3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wrapText="1"/>
    </xf>
    <xf numFmtId="164" fontId="4" fillId="2" borderId="4" xfId="1" applyNumberFormat="1" applyFont="1" applyFill="1" applyBorder="1" applyAlignment="1">
      <alignment horizontal="center" wrapText="1"/>
    </xf>
    <xf numFmtId="164" fontId="7" fillId="2" borderId="3" xfId="3" applyNumberFormat="1" applyFont="1" applyFill="1" applyBorder="1" applyAlignment="1">
      <alignment horizontal="center" wrapText="1"/>
    </xf>
    <xf numFmtId="164" fontId="7" fillId="2" borderId="4" xfId="3" applyNumberFormat="1" applyFont="1" applyFill="1" applyBorder="1" applyAlignment="1">
      <alignment horizontal="center" wrapText="1"/>
    </xf>
    <xf numFmtId="164" fontId="4" fillId="2" borderId="10" xfId="2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wrapText="1"/>
    </xf>
    <xf numFmtId="164" fontId="7" fillId="2" borderId="4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8" fillId="2" borderId="3" xfId="1" applyNumberFormat="1" applyFont="1" applyFill="1" applyBorder="1" applyAlignment="1">
      <alignment horizontal="center" vertical="top" wrapText="1" readingOrder="1"/>
    </xf>
    <xf numFmtId="164" fontId="8" fillId="2" borderId="4" xfId="1" applyNumberFormat="1" applyFont="1" applyFill="1" applyBorder="1" applyAlignment="1">
      <alignment horizontal="center" vertical="top" wrapText="1" readingOrder="1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168" fontId="2" fillId="2" borderId="0" xfId="0" applyNumberFormat="1" applyFont="1" applyFill="1"/>
    <xf numFmtId="168" fontId="6" fillId="2" borderId="1" xfId="2" applyNumberFormat="1" applyFont="1" applyFill="1" applyBorder="1" applyAlignment="1">
      <alignment horizontal="center" vertical="center" wrapText="1"/>
    </xf>
    <xf numFmtId="168" fontId="4" fillId="2" borderId="1" xfId="2" applyNumberFormat="1" applyFont="1" applyFill="1" applyBorder="1" applyAlignment="1">
      <alignment horizontal="center" vertical="center" wrapText="1"/>
    </xf>
    <xf numFmtId="168" fontId="5" fillId="2" borderId="1" xfId="1" applyNumberFormat="1" applyFont="1" applyFill="1" applyBorder="1" applyAlignment="1">
      <alignment horizontal="center" vertical="center" wrapText="1"/>
    </xf>
    <xf numFmtId="168" fontId="2" fillId="2" borderId="1" xfId="1" applyNumberFormat="1" applyFont="1" applyFill="1" applyBorder="1" applyAlignment="1">
      <alignment horizontal="center" vertical="center" wrapText="1"/>
    </xf>
    <xf numFmtId="168" fontId="4" fillId="2" borderId="1" xfId="2" applyNumberFormat="1" applyFont="1" applyFill="1" applyBorder="1" applyAlignment="1">
      <alignment wrapText="1"/>
    </xf>
    <xf numFmtId="168" fontId="7" fillId="2" borderId="1" xfId="1" applyNumberFormat="1" applyFont="1" applyFill="1" applyBorder="1" applyAlignment="1">
      <alignment horizontal="center" vertical="center"/>
    </xf>
    <xf numFmtId="168" fontId="2" fillId="2" borderId="1" xfId="1" applyNumberFormat="1" applyFont="1" applyFill="1" applyBorder="1"/>
    <xf numFmtId="168" fontId="7" fillId="2" borderId="1" xfId="1" applyNumberFormat="1" applyFont="1" applyFill="1" applyBorder="1" applyAlignment="1">
      <alignment horizontal="right" wrapText="1"/>
    </xf>
    <xf numFmtId="168" fontId="2" fillId="2" borderId="1" xfId="1" applyNumberFormat="1" applyFont="1" applyFill="1" applyBorder="1" applyAlignment="1">
      <alignment horizontal="center" vertical="center"/>
    </xf>
    <xf numFmtId="168" fontId="4" fillId="2" borderId="1" xfId="1" applyNumberFormat="1" applyFont="1" applyFill="1" applyBorder="1" applyAlignment="1">
      <alignment horizontal="center" vertical="center" wrapText="1"/>
    </xf>
    <xf numFmtId="168" fontId="2" fillId="2" borderId="1" xfId="1" applyNumberFormat="1" applyFont="1" applyFill="1" applyBorder="1" applyAlignment="1">
      <alignment wrapText="1"/>
    </xf>
    <xf numFmtId="168" fontId="7" fillId="2" borderId="1" xfId="3" applyNumberFormat="1" applyFont="1" applyFill="1" applyBorder="1" applyAlignment="1">
      <alignment horizontal="center" vertical="center" wrapText="1"/>
    </xf>
    <xf numFmtId="168" fontId="2" fillId="2" borderId="1" xfId="1" applyNumberFormat="1" applyFont="1" applyFill="1" applyBorder="1" applyAlignment="1">
      <alignment vertical="center" wrapText="1"/>
    </xf>
    <xf numFmtId="168" fontId="4" fillId="2" borderId="1" xfId="2" applyNumberFormat="1" applyFont="1" applyFill="1" applyBorder="1"/>
    <xf numFmtId="168" fontId="4" fillId="2" borderId="1" xfId="1" applyNumberFormat="1" applyFont="1" applyFill="1" applyBorder="1"/>
    <xf numFmtId="168" fontId="6" fillId="2" borderId="1" xfId="2" applyNumberFormat="1" applyFont="1" applyFill="1" applyBorder="1" applyAlignment="1">
      <alignment wrapText="1"/>
    </xf>
    <xf numFmtId="168" fontId="5" fillId="2" borderId="1" xfId="1" applyNumberFormat="1" applyFont="1" applyFill="1" applyBorder="1"/>
    <xf numFmtId="168" fontId="7" fillId="2" borderId="1" xfId="1" applyNumberFormat="1" applyFont="1" applyFill="1" applyBorder="1" applyAlignment="1">
      <alignment horizontal="center" vertical="center" wrapText="1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/>
    <xf numFmtId="168" fontId="2" fillId="2" borderId="3" xfId="0" applyNumberFormat="1" applyFont="1" applyFill="1" applyBorder="1"/>
    <xf numFmtId="168" fontId="2" fillId="2" borderId="3" xfId="1" applyNumberFormat="1" applyFont="1" applyFill="1" applyBorder="1"/>
    <xf numFmtId="168" fontId="7" fillId="2" borderId="1" xfId="0" applyNumberFormat="1" applyFont="1" applyFill="1" applyBorder="1"/>
    <xf numFmtId="168" fontId="4" fillId="2" borderId="1" xfId="2" applyNumberFormat="1" applyFont="1" applyFill="1" applyBorder="1" applyAlignment="1">
      <alignment horizontal="right"/>
    </xf>
    <xf numFmtId="168" fontId="5" fillId="2" borderId="1" xfId="1" applyNumberFormat="1" applyFont="1" applyFill="1" applyBorder="1" applyAlignment="1"/>
    <xf numFmtId="168" fontId="2" fillId="2" borderId="1" xfId="1" applyNumberFormat="1" applyFont="1" applyFill="1" applyBorder="1" applyAlignment="1"/>
    <xf numFmtId="168" fontId="10" fillId="2" borderId="1" xfId="1" applyNumberFormat="1" applyFont="1" applyFill="1" applyBorder="1" applyAlignment="1">
      <alignment horizontal="center" vertical="center" wrapText="1"/>
    </xf>
    <xf numFmtId="168" fontId="10" fillId="2" borderId="1" xfId="1" applyNumberFormat="1" applyFont="1" applyFill="1" applyBorder="1" applyAlignment="1">
      <alignment horizontal="center" vertical="center"/>
    </xf>
    <xf numFmtId="168" fontId="7" fillId="2" borderId="1" xfId="1" applyNumberFormat="1" applyFont="1" applyFill="1" applyBorder="1" applyAlignment="1">
      <alignment horizontal="left" vertical="center" wrapText="1"/>
    </xf>
    <xf numFmtId="168" fontId="7" fillId="2" borderId="1" xfId="3" applyNumberFormat="1" applyFont="1" applyFill="1" applyBorder="1"/>
    <xf numFmtId="168" fontId="7" fillId="2" borderId="3" xfId="3" applyNumberFormat="1" applyFont="1" applyFill="1" applyBorder="1"/>
    <xf numFmtId="168" fontId="5" fillId="2" borderId="3" xfId="1" applyNumberFormat="1" applyFont="1" applyFill="1" applyBorder="1" applyAlignment="1">
      <alignment horizontal="center" vertical="center" wrapText="1"/>
    </xf>
    <xf numFmtId="168" fontId="10" fillId="2" borderId="1" xfId="3" applyNumberFormat="1" applyFont="1" applyFill="1" applyBorder="1"/>
  </cellXfs>
  <cellStyles count="6">
    <cellStyle name="Normal" xfId="0" builtinId="0"/>
    <cellStyle name="Normal 2" xfId="5"/>
    <cellStyle name="Normal 4" xfId="1"/>
    <cellStyle name="Normal 5" xfId="3"/>
    <cellStyle name="Normal_cxrili 30.12.2008 BOLOOOOO" xfId="4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8039100" y="0"/>
          <a:ext cx="184731" cy="264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8039100" y="0"/>
          <a:ext cx="184731" cy="264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84" name="TextBox 1383">
          <a:extLst/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1385" name="TextBox 1384">
          <a:extLst/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8039100" y="0"/>
          <a:ext cx="184731" cy="264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3572</xdr:colOff>
      <xdr:row>0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566523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3572</xdr:colOff>
      <xdr:row>0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566523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8039100" y="0"/>
          <a:ext cx="184731" cy="264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234315</xdr:colOff>
      <xdr:row>0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546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68" name="TextBox 2767">
          <a:extLst/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769" name="TextBox 2768">
          <a:extLst/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0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40519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4" name="TextBox 396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79" name="TextBox 3978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88" name="TextBox 398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97" name="TextBox 3996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03" name="TextBox 400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12" name="TextBox 401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42" name="TextBox 404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48" name="TextBox 4047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4054" name="TextBox 405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69" name="TextBox 4068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78" name="TextBox 4077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84" name="TextBox 408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4087" name="TextBox 4086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90" name="TextBox 408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93" name="TextBox 409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99" name="TextBox 4098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8" name="TextBox 41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1" name="TextBox 411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4" name="TextBox 411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7" name="TextBox 4116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3" name="TextBox 412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32" name="TextBox 413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47" name="TextBox 4146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53" name="TextBox 415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59" name="TextBox 4158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4174" name="TextBox 417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177" name="TextBox 4176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180" name="TextBox 417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95" name="TextBox 4194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98" name="TextBox 419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4" name="TextBox 420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7" name="TextBox 4206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0" name="TextBox 420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13" name="TextBox 421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6" name="TextBox 421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9" name="TextBox 4218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0" name="TextBox 421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2" name="TextBox 422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5" name="TextBox 4224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28" name="TextBox 422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231" name="TextBox 423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4" name="TextBox 4233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7" name="TextBox 4236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0" name="TextBox 4239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3" name="TextBox 424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44" name="TextBox 424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46" name="TextBox 424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49" name="TextBox 4248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50" name="TextBox 4249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52" name="TextBox 425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60" name="TextBox 425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62" name="TextBox 426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65" name="TextBox 4264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69" name="TextBox 4268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70" name="TextBox 4269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74" name="TextBox 427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77" name="TextBox 4276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82" name="TextBox 428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84" name="TextBox 428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87" name="TextBox 428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89" name="TextBox 4288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90" name="TextBox 4289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294" name="TextBox 429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295" name="TextBox 4294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05" name="TextBox 430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07" name="TextBox 4306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309" name="TextBox 4308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310" name="TextBox 4309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12" name="TextBox 431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13" name="TextBox 431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14" name="TextBox 431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15" name="TextBox 431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18" name="TextBox 431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19" name="TextBox 431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20" name="TextBox 431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21" name="TextBox 432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22" name="TextBox 432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24" name="TextBox 432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25" name="TextBox 4324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27" name="TextBox 432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30" name="TextBox 432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33" name="TextBox 433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34" name="TextBox 433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36" name="TextBox 4335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37" name="TextBox 433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39" name="TextBox 4338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42" name="TextBox 434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45" name="TextBox 434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48" name="TextBox 4347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51" name="TextBox 435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54" name="TextBox 435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55" name="TextBox 4354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58" name="TextBox 4357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59" name="TextBox 435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60" name="TextBox 435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66" name="TextBox 4365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69" name="TextBox 4368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72" name="TextBox 437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75" name="TextBox 4374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77" name="TextBox 437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78" name="TextBox 4377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81" name="TextBox 438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84" name="TextBox 4383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87" name="TextBox 438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90" name="TextBox 4389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3" name="TextBox 439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5" name="TextBox 4394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6" name="TextBox 4395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99" name="TextBox 4398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02" name="TextBox 440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05" name="TextBox 4404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11" name="TextBox 441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14" name="TextBox 441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17" name="TextBox 441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19" name="TextBox 4418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20" name="TextBox 441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23" name="TextBox 442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27" name="TextBox 4426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29" name="TextBox 4428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30" name="TextBox 4429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32" name="TextBox 443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35" name="TextBox 4434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38" name="TextBox 4437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41" name="TextBox 444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44" name="TextBox 444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47" name="TextBox 4446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50" name="TextBox 444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53" name="TextBox 445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54" name="TextBox 445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56" name="TextBox 445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59" name="TextBox 4458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60" name="TextBox 445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62" name="TextBox 446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63" name="TextBox 446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65" name="TextBox 4464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66" name="TextBox 4465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68" name="TextBox 4467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71" name="TextBox 447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72" name="TextBox 447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74" name="TextBox 447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75" name="TextBox 4474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76" name="TextBox 4475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78" name="TextBox 4477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79" name="TextBox 4478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81" name="TextBox 448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82" name="TextBox 448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84" name="TextBox 448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85" name="TextBox 4484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87" name="TextBox 4486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90" name="TextBox 4489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91" name="TextBox 449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97" name="TextBox 4496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01" name="TextBox 450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04" name="TextBox 450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06" name="TextBox 4505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09" name="TextBox 4508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10" name="TextBox 4509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11" name="TextBox 451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17" name="TextBox 4516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20" name="TextBox 4519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21" name="TextBox 452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24" name="TextBox 45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26" name="TextBox 45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29" name="TextBox 4528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30" name="TextBox 4529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31" name="TextBox 453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32" name="TextBox 453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33" name="TextBox 453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34" name="TextBox 453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35" name="TextBox 4534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36" name="TextBox 4535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37" name="TextBox 4536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39" name="TextBox 4538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40" name="TextBox 453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41" name="TextBox 454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42" name="TextBox 454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43" name="TextBox 454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44" name="TextBox 454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45" name="TextBox 4544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46" name="TextBox 4545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47" name="TextBox 4546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48" name="TextBox 4547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49" name="TextBox 4548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50" name="TextBox 4549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51" name="TextBox 455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52" name="TextBox 455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53" name="TextBox 455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54" name="TextBox 455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55" name="TextBox 4554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56" name="TextBox 455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57" name="TextBox 455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58" name="TextBox 455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59" name="TextBox 4558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60" name="TextBox 4559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61" name="TextBox 456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62" name="TextBox 456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64" name="TextBox 456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65" name="TextBox 4564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66" name="TextBox 4565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67" name="TextBox 4566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69" name="TextBox 456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70" name="TextBox 456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571" name="TextBox 457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572" name="TextBox 457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573" name="TextBox 457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574" name="TextBox 457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575" name="TextBox 4574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576" name="TextBox 4575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577" name="TextBox 4576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578" name="TextBox 4577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579" name="TextBox 4578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580" name="TextBox 457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581" name="TextBox 458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582" name="TextBox 458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583" name="TextBox 458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4584" name="TextBox 458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4585" name="TextBox 4584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4586" name="TextBox 4585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4587" name="TextBox 4586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588" name="TextBox 4587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589" name="TextBox 4588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590" name="TextBox 4589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591" name="TextBox 459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92" name="TextBox 459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93" name="TextBox 4592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94" name="TextBox 459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95" name="TextBox 4594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596" name="TextBox 4595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597" name="TextBox 4596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599" name="TextBox 459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00" name="TextBox 459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02" name="TextBox 460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03" name="TextBox 460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605" name="TextBox 460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606" name="TextBox 4605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607" name="TextBox 4606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08" name="TextBox 4607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09" name="TextBox 4608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10" name="TextBox 4609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11" name="TextBox 461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12" name="TextBox 461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13" name="TextBox 461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14" name="TextBox 461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15" name="TextBox 4614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16" name="TextBox 4615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17" name="TextBox 4616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18" name="TextBox 4617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19" name="TextBox 4618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20" name="TextBox 461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21" name="TextBox 462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22" name="TextBox 462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23" name="TextBox 462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24" name="TextBox 462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25" name="TextBox 4624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26" name="TextBox 4625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27" name="TextBox 4626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28" name="TextBox 4627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29" name="TextBox 4628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30" name="TextBox 462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31" name="TextBox 463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32" name="TextBox 463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33" name="TextBox 4632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34" name="TextBox 463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35" name="TextBox 4634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36" name="TextBox 4635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37" name="TextBox 4636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38" name="TextBox 4637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39" name="TextBox 4638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40" name="TextBox 4639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41" name="TextBox 464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42" name="TextBox 464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43" name="TextBox 464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44" name="TextBox 4643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45" name="TextBox 4644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46" name="TextBox 4645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47" name="TextBox 4646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48" name="TextBox 4647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49" name="TextBox 4648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50" name="TextBox 4649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51" name="TextBox 465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52" name="TextBox 465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53" name="TextBox 4652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54" name="TextBox 465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55" name="TextBox 4654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56" name="TextBox 4655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57" name="TextBox 4656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58" name="TextBox 4657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59" name="TextBox 4658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60" name="TextBox 465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61" name="TextBox 466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62" name="TextBox 466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63" name="TextBox 4662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64" name="TextBox 466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65" name="TextBox 4664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66" name="TextBox 4665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67" name="TextBox 4666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68" name="TextBox 4667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69" name="TextBox 4668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70" name="TextBox 466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71" name="TextBox 467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72" name="TextBox 467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4673" name="TextBox 4672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74" name="TextBox 4673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75" name="TextBox 4674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676" name="TextBox 4675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677" name="TextBox 4676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78" name="TextBox 4677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79" name="TextBox 4678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0" name="TextBox 4679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1" name="TextBox 468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2" name="TextBox 468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3" name="TextBox 4682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4" name="TextBox 4683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5" name="TextBox 4684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6" name="TextBox 4685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7" name="TextBox 4686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8" name="TextBox 4687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89" name="TextBox 4688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0" name="TextBox 468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1" name="TextBox 469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2" name="TextBox 469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3" name="TextBox 4692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4" name="TextBox 469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5" name="TextBox 469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6" name="TextBox 469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7" name="TextBox 4696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8" name="TextBox 469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99" name="TextBox 469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0" name="TextBox 469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1" name="TextBox 470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2" name="TextBox 470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3" name="TextBox 4702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4" name="TextBox 470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5" name="TextBox 4704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6" name="TextBox 4705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7" name="TextBox 4706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8" name="TextBox 4707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09" name="TextBox 4708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0" name="TextBox 4709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1" name="TextBox 471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2" name="TextBox 471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3" name="TextBox 471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4" name="TextBox 471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5" name="TextBox 4714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6" name="TextBox 4715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7" name="TextBox 4716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8" name="TextBox 4717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19" name="TextBox 4718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0" name="TextBox 471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1" name="TextBox 472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2" name="TextBox 472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3" name="TextBox 4722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4" name="TextBox 472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5" name="TextBox 472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6" name="TextBox 472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7" name="TextBox 4726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8" name="TextBox 4727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29" name="TextBox 4728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0" name="TextBox 4729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1" name="TextBox 473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2" name="TextBox 473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3" name="TextBox 4732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4" name="TextBox 473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5" name="TextBox 4734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6" name="TextBox 4735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7" name="TextBox 4736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8" name="TextBox 4737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39" name="TextBox 4738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0" name="TextBox 473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1" name="TextBox 474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2" name="TextBox 474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3" name="TextBox 4742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4" name="TextBox 474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5" name="TextBox 4744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6" name="TextBox 4745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7" name="TextBox 4746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8" name="TextBox 4747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49" name="TextBox 4748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50" name="TextBox 4749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51" name="TextBox 475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52" name="TextBox 475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53" name="TextBox 475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54" name="TextBox 475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55" name="TextBox 4754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56" name="TextBox 4755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57" name="TextBox 4756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58" name="TextBox 4757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59" name="TextBox 4758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60" name="TextBox 475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61" name="TextBox 476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62" name="TextBox 476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63" name="TextBox 4762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64" name="TextBox 476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65" name="TextBox 4764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66" name="TextBox 4765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67" name="TextBox 4766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68" name="TextBox 4767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69" name="TextBox 4768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70" name="TextBox 476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71" name="TextBox 477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72" name="TextBox 477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73" name="TextBox 4772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74" name="TextBox 477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75" name="TextBox 4774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76" name="TextBox 4775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77" name="TextBox 4776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78" name="TextBox 4777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79" name="TextBox 477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80" name="TextBox 477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81" name="TextBox 478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82" name="TextBox 478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83" name="TextBox 4782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84" name="TextBox 478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85" name="TextBox 4784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86" name="TextBox 4785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87" name="TextBox 4786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88" name="TextBox 4787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89" name="TextBox 4788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90" name="TextBox 4789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91" name="TextBox 479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92" name="TextBox 479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93" name="TextBox 4792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94" name="TextBox 479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95" name="TextBox 4794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96" name="TextBox 4795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97" name="TextBox 4796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98" name="TextBox 4797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799" name="TextBox 4798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00" name="TextBox 479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01" name="TextBox 480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02" name="TextBox 480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03" name="TextBox 4802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04" name="TextBox 480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05" name="TextBox 4804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06" name="TextBox 4805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07" name="TextBox 4806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08" name="TextBox 4807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09" name="TextBox 4808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10" name="TextBox 480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11" name="TextBox 481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12" name="TextBox 481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13" name="TextBox 4812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14" name="TextBox 481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15" name="TextBox 4814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16" name="TextBox 4815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17" name="TextBox 481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18" name="TextBox 481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19" name="TextBox 481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20" name="TextBox 481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21" name="TextBox 482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22" name="TextBox 482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23" name="TextBox 4822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24" name="TextBox 482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25" name="TextBox 4824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26" name="TextBox 4825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27" name="TextBox 4826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28" name="TextBox 4827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29" name="TextBox 4828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30" name="TextBox 482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31" name="TextBox 483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32" name="TextBox 483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33" name="TextBox 4832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34" name="TextBox 4833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35" name="TextBox 4834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836" name="TextBox 4835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837" name="TextBox 4836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838" name="TextBox 4837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839" name="TextBox 4838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4840" name="TextBox 483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4841" name="TextBox 484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4842" name="TextBox 484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4843" name="TextBox 484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844" name="TextBox 484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845" name="TextBox 484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46" name="TextBox 4845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4847" name="TextBox 4846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48" name="TextBox 4847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49" name="TextBox 4848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50" name="TextBox 4849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51" name="TextBox 485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52" name="TextBox 485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53" name="TextBox 4852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54" name="TextBox 485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55" name="TextBox 4854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56" name="TextBox 4855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57" name="TextBox 485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58" name="TextBox 4857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59" name="TextBox 485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60" name="TextBox 485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61" name="TextBox 486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62" name="TextBox 486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63" name="TextBox 4862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64" name="TextBox 486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65" name="TextBox 4864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66" name="TextBox 4865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67" name="TextBox 4866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68" name="TextBox 4867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69" name="TextBox 4868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70" name="TextBox 486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71" name="TextBox 487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72" name="TextBox 487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73" name="TextBox 4872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74" name="TextBox 487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75" name="TextBox 4874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76" name="TextBox 4875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77" name="TextBox 4876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78" name="TextBox 4877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79" name="TextBox 4878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80" name="TextBox 487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81" name="TextBox 488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82" name="TextBox 488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4883" name="TextBox 4882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4" name="TextBox 488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5" name="TextBox 4884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7" name="TextBox 4886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8" name="TextBox 4887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9" name="TextBox 4888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0" name="TextBox 4889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1" name="TextBox 489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2" name="TextBox 489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3" name="TextBox 4892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4" name="TextBox 489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5" name="TextBox 4894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896" name="TextBox 4895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897" name="TextBox 4896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898" name="TextBox 4897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899" name="TextBox 4898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0" name="TextBox 489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1" name="TextBox 490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2" name="TextBox 490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3" name="TextBox 4902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4" name="TextBox 490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5" name="TextBox 4904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6" name="TextBox 4905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7" name="TextBox 4906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8" name="TextBox 490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9" name="TextBox 4908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0" name="TextBox 490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1" name="TextBox 491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912" name="TextBox 491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913" name="TextBox 4912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914" name="TextBox 491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4915" name="TextBox 491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6" name="TextBox 4915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7" name="TextBox 4916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8" name="TextBox 4917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9" name="TextBox 4918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0" name="TextBox 491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1" name="TextBox 492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2" name="TextBox 492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3" name="TextBox 4922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4" name="TextBox 492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5" name="TextBox 492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7" name="TextBox 492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52501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28" name="TextBox 4927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29" name="TextBox 4928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30" name="TextBox 492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31" name="TextBox 493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32" name="TextBox 493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33" name="TextBox 493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34" name="TextBox 4933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35" name="TextBox 4934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36" name="TextBox 4935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37" name="TextBox 4936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38" name="TextBox 4937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39" name="TextBox 4938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40" name="TextBox 493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41" name="TextBox 494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42" name="TextBox 494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43" name="TextBox 494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44" name="TextBox 494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45" name="TextBox 4944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46" name="TextBox 4945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47" name="TextBox 4946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48" name="TextBox 494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49" name="TextBox 4948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50" name="TextBox 4949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51" name="TextBox 495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52" name="TextBox 495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53" name="TextBox 4952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54" name="TextBox 4953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55" name="TextBox 4954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56" name="TextBox 4955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57" name="TextBox 495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58" name="TextBox 4957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59" name="TextBox 495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60" name="TextBox 495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61" name="TextBox 496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62" name="TextBox 496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963" name="TextBox 4962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64" name="TextBox 4963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65" name="TextBox 4964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66" name="TextBox 4965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67" name="TextBox 4966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68" name="TextBox 4967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69" name="TextBox 4968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70" name="TextBox 4969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71" name="TextBox 497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72" name="TextBox 497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73" name="TextBox 497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74" name="TextBox 497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75" name="TextBox 4974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976" name="TextBox 4975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977" name="TextBox 4976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978" name="TextBox 4977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979" name="TextBox 4978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80" name="TextBox 497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81" name="TextBox 49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82" name="TextBox 498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83" name="TextBox 498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84" name="TextBox 498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85" name="TextBox 498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86" name="TextBox 498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87" name="TextBox 498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88" name="TextBox 4987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89" name="TextBox 4988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90" name="TextBox 4989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91" name="TextBox 499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992" name="TextBox 499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993" name="TextBox 4992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994" name="TextBox 499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4995" name="TextBox 4994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96" name="TextBox 4995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97" name="TextBox 4996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98" name="TextBox 4997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4999" name="TextBox 4998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00" name="TextBox 499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01" name="TextBox 500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02" name="TextBox 500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03" name="TextBox 5002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04" name="TextBox 500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05" name="TextBox 5004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06" name="TextBox 5005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07" name="TextBox 500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08" name="TextBox 5007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09" name="TextBox 5008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10" name="TextBox 500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11" name="TextBox 501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12" name="TextBox 501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13" name="TextBox 501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14" name="TextBox 501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15" name="TextBox 5014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16" name="TextBox 5015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17" name="TextBox 501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18" name="TextBox 501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019" name="TextBox 501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0" name="TextBox 501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1" name="TextBox 502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2" name="TextBox 502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3" name="TextBox 5022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4" name="TextBox 502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5" name="TextBox 5024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6" name="TextBox 5025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7" name="TextBox 5026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8" name="TextBox 5027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29" name="TextBox 5028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0" name="TextBox 50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1" name="TextBox 50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2" name="TextBox 50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3" name="TextBox 5032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4" name="TextBox 503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5" name="TextBox 5034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6" name="TextBox 5035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7" name="TextBox 5036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8" name="TextBox 5037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39" name="TextBox 5038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0" name="TextBox 5039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1" name="TextBox 504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2" name="TextBox 504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3" name="TextBox 504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4" name="TextBox 504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5" name="TextBox 504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6" name="TextBox 5045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7" name="TextBox 5046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8" name="TextBox 5047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49" name="TextBox 5048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0" name="TextBox 5049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1" name="TextBox 505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2" name="TextBox 505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3" name="TextBox 5052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4" name="TextBox 5053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5" name="TextBox 5054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6" name="TextBox 5055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7" name="TextBox 5056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8" name="TextBox 5057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59" name="TextBox 50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0" name="TextBox 50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1" name="TextBox 50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2" name="TextBox 506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3" name="TextBox 5062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4" name="TextBox 506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5" name="TextBox 5064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6" name="TextBox 5065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7" name="TextBox 5066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8" name="TextBox 5067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69" name="TextBox 5068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0" name="TextBox 5069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1" name="TextBox 507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2" name="TextBox 507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3" name="TextBox 5072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4" name="TextBox 507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5" name="TextBox 5074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6" name="TextBox 5075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7" name="TextBox 5076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8" name="TextBox 5077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79" name="TextBox 5078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0" name="TextBox 507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1" name="TextBox 508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2" name="TextBox 508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3" name="TextBox 5082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4" name="TextBox 5083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5" name="TextBox 5084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6" name="TextBox 5085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7" name="TextBox 5086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8" name="TextBox 5087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9" name="TextBox 5088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90" name="TextBox 5089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91" name="TextBox 509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092" name="TextBox 509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093" name="TextBox 5092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094" name="TextBox 509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095" name="TextBox 5094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096" name="TextBox 5095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097" name="TextBox 5096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098" name="TextBox 5097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099" name="TextBox 5098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00" name="TextBox 5099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01" name="TextBox 510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02" name="TextBox 510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03" name="TextBox 5102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04" name="TextBox 510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05" name="TextBox 5104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06" name="TextBox 5105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07" name="TextBox 5106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08" name="TextBox 5107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09" name="TextBox 5108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10" name="TextBox 5109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11" name="TextBox 511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12" name="TextBox 511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13" name="TextBox 5112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14" name="TextBox 511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15" name="TextBox 5114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16" name="TextBox 5115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17" name="TextBox 5116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18" name="TextBox 5117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19" name="TextBox 5118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20" name="TextBox 511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21" name="TextBox 512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22" name="TextBox 512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23" name="TextBox 5122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24" name="TextBox 5123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25" name="TextBox 5124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26" name="TextBox 5125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27" name="TextBox 5126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28" name="TextBox 5127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29" name="TextBox 5128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30" name="TextBox 5129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31" name="TextBox 513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32" name="TextBox 513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33" name="TextBox 5132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34" name="TextBox 513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35" name="TextBox 5134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36" name="TextBox 5135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37" name="TextBox 5136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38" name="TextBox 5137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39" name="TextBox 513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40" name="TextBox 513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41" name="TextBox 514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42" name="TextBox 514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43" name="TextBox 5142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44" name="TextBox 514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45" name="TextBox 5144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46" name="TextBox 5145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47" name="TextBox 5146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48" name="TextBox 5147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49" name="TextBox 5148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50" name="TextBox 5149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51" name="TextBox 515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52" name="TextBox 515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53" name="TextBox 515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54" name="TextBox 515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55" name="TextBox 5154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56" name="TextBox 5155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57" name="TextBox 5156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58" name="TextBox 5157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59" name="TextBox 5158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60" name="TextBox 5159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61" name="TextBox 516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62" name="TextBox 516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63" name="TextBox 5162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64" name="TextBox 516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65" name="TextBox 516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66" name="TextBox 516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67" name="TextBox 516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168" name="TextBox 5167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169" name="TextBox 5168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170" name="TextBox 5169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171" name="TextBox 517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172" name="TextBox 517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173" name="TextBox 5172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174" name="TextBox 517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175" name="TextBox 5174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76" name="TextBox 5175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77" name="TextBox 5176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78" name="TextBox 5177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79" name="TextBox 5178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0" name="TextBox 5179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1" name="TextBox 518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2" name="TextBox 518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3" name="TextBox 5182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4" name="TextBox 518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5" name="TextBox 5184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6" name="TextBox 5185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7" name="TextBox 5186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8" name="TextBox 5187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89" name="TextBox 5188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90" name="TextBox 5189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91" name="TextBox 519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92" name="TextBox 519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93" name="TextBox 5192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94" name="TextBox 519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95" name="TextBox 5194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96" name="TextBox 5195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97" name="TextBox 5196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98" name="TextBox 5197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199" name="TextBox 5198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200" name="TextBox 5199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202" name="TextBox 520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203" name="TextBox 5202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04" name="TextBox 520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05" name="TextBox 5204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06" name="TextBox 5205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08" name="TextBox 5207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09" name="TextBox 5208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0" name="TextBox 5209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1" name="TextBox 521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2" name="TextBox 521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3" name="TextBox 5212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4" name="TextBox 521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5" name="TextBox 5214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6" name="TextBox 5215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7" name="TextBox 5216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8" name="TextBox 5217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19" name="TextBox 5218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0" name="TextBox 5219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1" name="TextBox 522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2" name="TextBox 522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3" name="TextBox 5222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4" name="TextBox 522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5" name="TextBox 5224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6" name="TextBox 5225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7" name="TextBox 5226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29" name="TextBox 5228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30" name="TextBox 5229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32" name="TextBox 523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33" name="TextBox 5232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34" name="TextBox 523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35" name="TextBox 5234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36" name="TextBox 5235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37" name="TextBox 5236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38" name="TextBox 5237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39" name="TextBox 5238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40" name="TextBox 5239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41" name="TextBox 524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42" name="TextBox 524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43" name="TextBox 5242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44" name="TextBox 524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45" name="TextBox 5244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47" name="TextBox 5246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48" name="TextBox 5247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51" name="TextBox 525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53" name="TextBox 5252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54" name="TextBox 525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56" name="TextBox 5255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57" name="TextBox 5256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58" name="TextBox 5257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59" name="TextBox 5258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60" name="TextBox 525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62" name="TextBox 526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63" name="TextBox 5262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64" name="TextBox 5263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65" name="TextBox 5264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66" name="TextBox 5265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267" name="TextBox 5266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68" name="TextBox 5267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69" name="TextBox 5268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0" name="TextBox 5269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1" name="TextBox 527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2" name="TextBox 527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3" name="TextBox 5272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274" name="TextBox 5273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275" name="TextBox 5274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6" name="TextBox 5275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7" name="TextBox 5276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8" name="TextBox 527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79" name="TextBox 527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0" name="TextBox 527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1" name="TextBox 52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3" name="TextBox 5282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4" name="TextBox 528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5" name="TextBox 528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6" name="TextBox 5285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7" name="TextBox 5286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89" name="TextBox 5288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0" name="TextBox 528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2" name="TextBox 529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3" name="TextBox 529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5" name="TextBox 5294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6" name="TextBox 5295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7" name="TextBox 5296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8" name="TextBox 529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99" name="TextBox 5298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0" name="TextBox 5299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1" name="TextBox 530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2" name="TextBox 530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3" name="TextBox 530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4" name="TextBox 530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5" name="TextBox 530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6" name="TextBox 530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7" name="TextBox 5306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8" name="TextBox 5307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09" name="TextBox 5308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0" name="TextBox 5309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1" name="TextBox 531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2" name="TextBox 531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3" name="TextBox 5312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4" name="TextBox 531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6" name="TextBox 5315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7" name="TextBox 5316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19" name="TextBox 5318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0" name="TextBox 5319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1" name="TextBox 532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2" name="TextBox 532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3" name="TextBox 5322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4" name="TextBox 532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5" name="TextBox 5324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6" name="TextBox 5325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7" name="TextBox 5326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8" name="TextBox 5327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29" name="TextBox 5328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0" name="TextBox 532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1" name="TextBox 533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2" name="TextBox 533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3" name="TextBox 533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4" name="TextBox 533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5" name="TextBox 5334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6" name="TextBox 5335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7" name="TextBox 5336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8" name="TextBox 5337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0" name="TextBox 533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1" name="TextBox 534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3" name="TextBox 534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4" name="TextBox 534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5" name="TextBox 5344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6" name="TextBox 5345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7" name="TextBox 5346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8" name="TextBox 5347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50" name="TextBox 5349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51" name="TextBox 535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52" name="TextBox 535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53" name="TextBox 535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54" name="TextBox 535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56" name="TextBox 5355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58" name="TextBox 5357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59" name="TextBox 5358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61" name="TextBox 536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62" name="TextBox 536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64" name="TextBox 536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65" name="TextBox 536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67" name="TextBox 536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68" name="TextBox 5367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69" name="TextBox 5368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70" name="TextBox 5369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71" name="TextBox 537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72" name="TextBox 537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74" name="TextBox 537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75" name="TextBox 5374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76" name="TextBox 5375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77" name="TextBox 5376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78" name="TextBox 537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79" name="TextBox 537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80" name="TextBox 537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81" name="TextBox 538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83" name="TextBox 5382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85" name="TextBox 5384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86" name="TextBox 5385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87" name="TextBox 5386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88" name="TextBox 5387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89" name="TextBox 5388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90" name="TextBox 5389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91" name="TextBox 539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92" name="TextBox 539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93" name="TextBox 539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94" name="TextBox 539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95" name="TextBox 5394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96" name="TextBox 5395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97" name="TextBox 5396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98" name="TextBox 5397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399" name="TextBox 5398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00" name="TextBox 5399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01" name="TextBox 540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02" name="TextBox 540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03" name="TextBox 5402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04" name="TextBox 540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05" name="TextBox 540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06" name="TextBox 540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07" name="TextBox 5406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08" name="TextBox 5407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09" name="TextBox 5408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10" name="TextBox 5409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11" name="TextBox 541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12" name="TextBox 541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13" name="TextBox 541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14" name="TextBox 541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15" name="TextBox 5414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16" name="TextBox 5415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17" name="TextBox 5416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18" name="TextBox 5417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19" name="TextBox 5418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20" name="TextBox 5419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21" name="TextBox 542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22" name="TextBox 542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23" name="TextBox 542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24" name="TextBox 5423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25" name="TextBox 5424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26" name="TextBox 5425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27" name="TextBox 5426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28" name="TextBox 5427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29" name="TextBox 5428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30" name="TextBox 5429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31" name="TextBox 543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32" name="TextBox 543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33" name="TextBox 543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34" name="TextBox 543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35" name="TextBox 5434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36" name="TextBox 5435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37" name="TextBox 5436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438" name="TextBox 5437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439" name="TextBox 5438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440" name="TextBox 5439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441" name="TextBox 544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442" name="TextBox 544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443" name="TextBox 5442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444" name="TextBox 5443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445" name="TextBox 5444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46" name="TextBox 5445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47" name="TextBox 5446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48" name="TextBox 5447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49" name="TextBox 5448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0" name="TextBox 5449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1" name="TextBox 545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2" name="TextBox 545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3" name="TextBox 5452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4" name="TextBox 5453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5" name="TextBox 5454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6" name="TextBox 5455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7" name="TextBox 5456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8" name="TextBox 5457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9" name="TextBox 5458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60" name="TextBox 5459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61" name="TextBox 546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62" name="TextBox 546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63" name="TextBox 5462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64" name="TextBox 546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65" name="TextBox 5464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66" name="TextBox 5465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67" name="TextBox 5466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68" name="TextBox 5467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469" name="TextBox 5468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470" name="TextBox 5469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471" name="TextBox 547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472" name="TextBox 547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5473" name="TextBox 5472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74" name="TextBox 547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75" name="TextBox 5474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76" name="TextBox 5475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77" name="TextBox 5476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78" name="TextBox 5477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79" name="TextBox 5478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0" name="TextBox 5479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1" name="TextBox 548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2" name="TextBox 548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3" name="TextBox 548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4" name="TextBox 548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5" name="TextBox 5484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6" name="TextBox 5485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7" name="TextBox 5486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8" name="TextBox 5487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9" name="TextBox 5488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0" name="TextBox 5489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1" name="TextBox 549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2" name="TextBox 549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3" name="TextBox 5492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4" name="TextBox 549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5" name="TextBox 549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6" name="TextBox 549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7" name="TextBox 549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8" name="TextBox 5497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9" name="TextBox 5498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00" name="TextBox 5499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01" name="TextBox 550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02" name="TextBox 550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03" name="TextBox 5502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04" name="TextBox 550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05" name="TextBox 5504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06" name="TextBox 5505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07" name="TextBox 550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08" name="TextBox 550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09" name="TextBox 550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10" name="TextBox 5509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11" name="TextBox 551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12" name="TextBox 551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13" name="TextBox 5512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14" name="TextBox 551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15" name="TextBox 5514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16" name="TextBox 5515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17" name="TextBox 5516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18" name="TextBox 5517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19" name="TextBox 5518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20" name="TextBox 551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21" name="TextBox 552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22" name="TextBox 552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23" name="TextBox 5522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24" name="TextBox 5523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25" name="TextBox 5524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26" name="TextBox 5525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27" name="TextBox 5526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28" name="TextBox 5527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29" name="TextBox 5528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30" name="TextBox 5529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31" name="TextBox 553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32" name="TextBox 553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33" name="TextBox 553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34" name="TextBox 553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35" name="TextBox 553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36" name="TextBox 5535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37" name="TextBox 5536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38" name="TextBox 5537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39" name="TextBox 5538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40" name="TextBox 5539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41" name="TextBox 554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42" name="TextBox 554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43" name="TextBox 5542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44" name="TextBox 5543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45" name="TextBox 5544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46" name="TextBox 554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47" name="TextBox 554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48" name="TextBox 554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49" name="TextBox 5548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50" name="TextBox 5549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51" name="TextBox 555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552" name="TextBox 555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553" name="TextBox 5552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554" name="TextBox 555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555" name="TextBox 5554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5556" name="TextBox 5555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5557" name="TextBox 5556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5558" name="TextBox 5557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5559" name="TextBox 5558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63474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560" name="TextBox 5559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561" name="TextBox 556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562" name="TextBox 556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563" name="TextBox 556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564" name="TextBox 556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565" name="TextBox 5564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566" name="TextBox 5565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567" name="TextBox 5566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568" name="TextBox 5567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569" name="TextBox 5568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570" name="TextBox 5569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571" name="TextBox 557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72" name="TextBox 557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73" name="TextBox 5572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74" name="TextBox 557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75" name="TextBox 557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76" name="TextBox 557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77" name="TextBox 557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78" name="TextBox 5577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79" name="TextBox 5578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80" name="TextBox 5579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81" name="TextBox 558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82" name="TextBox 558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583" name="TextBox 5582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584" name="TextBox 5583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585" name="TextBox 5584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586" name="TextBox 5585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587" name="TextBox 5586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588" name="TextBox 558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589" name="TextBox 558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590" name="TextBox 558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591" name="TextBox 559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592" name="TextBox 559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593" name="TextBox 5592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594" name="TextBox 559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595" name="TextBox 5594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596" name="TextBox 5595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597" name="TextBox 5596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598" name="TextBox 5597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599" name="TextBox 5598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00" name="TextBox 5599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01" name="TextBox 560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02" name="TextBox 560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03" name="TextBox 5602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04" name="TextBox 560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05" name="TextBox 5604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06" name="TextBox 5605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07" name="TextBox 5606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08" name="TextBox 5607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09" name="TextBox 5608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10" name="TextBox 5609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11" name="TextBox 561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612" name="TextBox 561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613" name="TextBox 5612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614" name="TextBox 561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615" name="TextBox 5614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16" name="TextBox 5615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17" name="TextBox 5616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18" name="TextBox 5617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19" name="TextBox 5618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20" name="TextBox 5619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21" name="TextBox 562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22" name="TextBox 562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23" name="TextBox 5622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24" name="TextBox 562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25" name="TextBox 5624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26" name="TextBox 5625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84731" cy="264560"/>
    <xdr:sp macro="" textlink="">
      <xdr:nvSpPr>
        <xdr:cNvPr id="5627" name="TextBox 5626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52513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28" name="TextBox 5627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29" name="TextBox 5628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30" name="TextBox 5629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31" name="TextBox 563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32" name="TextBox 563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33" name="TextBox 5632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34" name="TextBox 563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35" name="TextBox 5634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36" name="TextBox 5635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37" name="TextBox 5636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38" name="TextBox 5637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39" name="TextBox 5638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40" name="TextBox 5639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41" name="TextBox 564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42" name="TextBox 564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43" name="TextBox 5642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44" name="TextBox 564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45" name="TextBox 5644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46" name="TextBox 5645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47" name="TextBox 5646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48" name="TextBox 5647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49" name="TextBox 5648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50" name="TextBox 5649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51" name="TextBox 565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52" name="TextBox 565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53" name="TextBox 565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54" name="TextBox 565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55" name="TextBox 5654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56" name="TextBox 5655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57" name="TextBox 5656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58" name="TextBox 5657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59" name="TextBox 5658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60" name="TextBox 5659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61" name="TextBox 566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62" name="TextBox 566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663" name="TextBox 5662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64" name="TextBox 566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65" name="TextBox 56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66" name="TextBox 56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67" name="TextBox 56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68" name="TextBox 5667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69" name="TextBox 5668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70" name="TextBox 5669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71" name="TextBox 567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72" name="TextBox 567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73" name="TextBox 5672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74" name="TextBox 567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75" name="TextBox 5674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5676" name="TextBox 5675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5677" name="TextBox 5676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5678" name="TextBox 5677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5679" name="TextBox 5678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80" name="TextBox 5679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81" name="TextBox 568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82" name="TextBox 568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83" name="TextBox 5682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84" name="TextBox 5683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85" name="TextBox 5684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86" name="TextBox 5685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87" name="TextBox 5686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88" name="TextBox 5687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89" name="TextBox 5688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90" name="TextBox 5689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91" name="TextBox 569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5692" name="TextBox 569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5693" name="TextBox 5692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5694" name="TextBox 569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5695" name="TextBox 5694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7482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96" name="TextBox 5695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97" name="TextBox 5696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98" name="TextBox 5697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699" name="TextBox 5698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00" name="TextBox 5699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01" name="TextBox 570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02" name="TextBox 570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03" name="TextBox 570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04" name="TextBox 570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05" name="TextBox 570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06" name="TextBox 5705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07" name="TextBox 5706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08" name="TextBox 5707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09" name="TextBox 5708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10" name="TextBox 5709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11" name="TextBox 571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12" name="TextBox 571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13" name="TextBox 5712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14" name="TextBox 5713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15" name="TextBox 5714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16" name="TextBox 571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17" name="TextBox 571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18" name="TextBox 571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19" name="TextBox 5718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20" name="TextBox 5719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21" name="TextBox 572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22" name="TextBox 572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23" name="TextBox 5722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24" name="TextBox 572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25" name="TextBox 5724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26" name="TextBox 5725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27" name="TextBox 5726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28" name="TextBox 5727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29" name="TextBox 572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30" name="TextBox 572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31" name="TextBox 573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32" name="TextBox 573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33" name="TextBox 5732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34" name="TextBox 5733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35" name="TextBox 5734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36" name="TextBox 5735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37" name="TextBox 5736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38" name="TextBox 5737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39" name="TextBox 5738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40" name="TextBox 5739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41" name="TextBox 574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3572</xdr:colOff>
      <xdr:row>0</xdr:row>
      <xdr:rowOff>0</xdr:rowOff>
    </xdr:from>
    <xdr:ext cx="184731" cy="264560"/>
    <xdr:sp macro="" textlink="">
      <xdr:nvSpPr>
        <xdr:cNvPr id="5742" name="TextBox 574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566523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3572</xdr:colOff>
      <xdr:row>0</xdr:row>
      <xdr:rowOff>0</xdr:rowOff>
    </xdr:from>
    <xdr:ext cx="184731" cy="264560"/>
    <xdr:sp macro="" textlink="">
      <xdr:nvSpPr>
        <xdr:cNvPr id="5743" name="TextBox 574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566523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44" name="TextBox 574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45" name="TextBox 5744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46" name="TextBox 5745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47" name="TextBox 5746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48" name="TextBox 5747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49" name="TextBox 5748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50" name="TextBox 5749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51" name="TextBox 575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52" name="TextBox 575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53" name="TextBox 5752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54" name="TextBox 5753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755" name="TextBox 575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56" name="TextBox 575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57" name="TextBox 575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58" name="TextBox 5757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59" name="TextBox 5758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60" name="TextBox 5759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61" name="TextBox 5760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62" name="TextBox 576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63" name="TextBox 5762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64" name="TextBox 576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65" name="TextBox 5764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66" name="TextBox 5765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67" name="TextBox 5766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68" name="TextBox 576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69" name="TextBox 576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70" name="TextBox 576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71" name="TextBox 5770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72" name="TextBox 577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73" name="TextBox 5772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74" name="TextBox 577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75" name="TextBox 5774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76" name="TextBox 5775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77" name="TextBox 5776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78" name="TextBox 5777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79" name="TextBox 5778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0" name="TextBox 5779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1" name="TextBox 578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2" name="TextBox 578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3" name="TextBox 5782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4" name="TextBox 578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5" name="TextBox 578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86" name="TextBox 578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87" name="TextBox 5786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8" name="TextBox 5787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89" name="TextBox 5788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90" name="TextBox 5789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91" name="TextBox 579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92" name="TextBox 579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93" name="TextBox 5792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94" name="TextBox 579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95" name="TextBox 5794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96" name="TextBox 5795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97" name="TextBox 579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98" name="TextBox 579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799" name="TextBox 579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00" name="TextBox 5799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01" name="TextBox 580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02" name="TextBox 580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03" name="TextBox 5802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04" name="TextBox 580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05" name="TextBox 5804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06" name="TextBox 5805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07" name="TextBox 5806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08" name="TextBox 5807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09" name="TextBox 5808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10" name="TextBox 580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11" name="TextBox 581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12" name="TextBox 581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13" name="TextBox 581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14" name="TextBox 581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15" name="TextBox 5814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16" name="TextBox 5815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17" name="TextBox 5816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18" name="TextBox 5817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19" name="TextBox 5818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20" name="TextBox 5819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21" name="TextBox 5820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22" name="TextBox 582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5823" name="TextBox 5822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24" name="TextBox 582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25" name="TextBox 5824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26" name="TextBox 582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27" name="TextBox 582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28" name="TextBox 582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29" name="TextBox 5828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30" name="TextBox 5829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31" name="TextBox 583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32" name="TextBox 583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33" name="TextBox 5832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34" name="TextBox 583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35" name="TextBox 5834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36" name="TextBox 5835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37" name="TextBox 5836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38" name="TextBox 5837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39" name="TextBox 5838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40" name="TextBox 5839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41" name="TextBox 584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42" name="TextBox 584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43" name="TextBox 5842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44" name="TextBox 584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45" name="TextBox 584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46" name="TextBox 584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47" name="TextBox 584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48" name="TextBox 5847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49" name="TextBox 5848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50" name="TextBox 5849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51" name="TextBox 585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52" name="TextBox 585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53" name="TextBox 5852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54" name="TextBox 585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55" name="TextBox 5854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56" name="TextBox 5855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57" name="TextBox 5856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58" name="TextBox 585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59" name="TextBox 585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60" name="TextBox 585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61" name="TextBox 5860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62" name="TextBox 586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63" name="TextBox 5862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64" name="TextBox 586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65" name="TextBox 5864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66" name="TextBox 5865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67" name="TextBox 5866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68" name="TextBox 5867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69" name="TextBox 5868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70" name="TextBox 5869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71" name="TextBox 587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72" name="TextBox 587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73" name="TextBox 587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74" name="TextBox 587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75" name="TextBox 5874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76" name="TextBox 5875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77" name="TextBox 5876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78" name="TextBox 5877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79" name="TextBox 5878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80" name="TextBox 5879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81" name="TextBox 588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82" name="TextBox 588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83" name="TextBox 5882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84" name="TextBox 5883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85" name="TextBox 588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86" name="TextBox 5885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87" name="TextBox 5886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88" name="TextBox 5887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89" name="TextBox 5888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90" name="TextBox 5889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91" name="TextBox 589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92" name="TextBox 589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93" name="TextBox 5892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94" name="TextBox 589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95" name="TextBox 5894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96" name="TextBox 5895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97" name="TextBox 5896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98" name="TextBox 5897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899" name="TextBox 5898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00" name="TextBox 5899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01" name="TextBox 590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02" name="TextBox 590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03" name="TextBox 5902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04" name="TextBox 590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05" name="TextBox 5904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06" name="TextBox 590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07" name="TextBox 590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08" name="TextBox 590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09" name="TextBox 5908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10" name="TextBox 5909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11" name="TextBox 5910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12" name="TextBox 591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13" name="TextBox 5912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14" name="TextBox 591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15" name="TextBox 5914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16" name="TextBox 5915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17" name="TextBox 5916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18" name="TextBox 5917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19" name="TextBox 5918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20" name="TextBox 5919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21" name="TextBox 5920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22" name="TextBox 592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23" name="TextBox 5922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24" name="TextBox 592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25" name="TextBox 5924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26" name="TextBox 5925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27" name="TextBox 5926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28" name="TextBox 5927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29" name="TextBox 5928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30" name="TextBox 5929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31" name="TextBox 5930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32" name="TextBox 593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33" name="TextBox 5932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34" name="TextBox 5933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35" name="TextBox 5934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36" name="TextBox 5935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37" name="TextBox 5936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38" name="TextBox 5937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39" name="TextBox 5938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40" name="TextBox 5939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41" name="TextBox 5940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42" name="TextBox 594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43" name="TextBox 5942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44" name="TextBox 5943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45" name="TextBox 5944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46" name="TextBox 5945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47" name="TextBox 5946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48" name="TextBox 5947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49" name="TextBox 5948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50" name="TextBox 5949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51" name="TextBox 5950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52" name="TextBox 595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53" name="TextBox 5952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54" name="TextBox 595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5955" name="TextBox 5954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956" name="TextBox 5955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957" name="TextBox 5956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958" name="TextBox 5957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959" name="TextBox 5958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960" name="TextBox 5959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961" name="TextBox 5960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962" name="TextBox 596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963" name="TextBox 596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964" name="TextBox 596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965" name="TextBox 5964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966" name="TextBox 5965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84731" cy="264560"/>
    <xdr:sp macro="" textlink="">
      <xdr:nvSpPr>
        <xdr:cNvPr id="5967" name="TextBox 596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56708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968" name="TextBox 596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969" name="TextBox 596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970" name="TextBox 5969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971" name="TextBox 5970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972" name="TextBox 597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973" name="TextBox 5972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974" name="TextBox 5973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5975" name="TextBox 5974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76" name="TextBox 5975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77" name="TextBox 5976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78" name="TextBox 5977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79" name="TextBox 5978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980" name="TextBox 5979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981" name="TextBox 5980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982" name="TextBox 598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983" name="TextBox 5982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84" name="TextBox 598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85" name="TextBox 5984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86" name="TextBox 598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87" name="TextBox 598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988" name="TextBox 598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989" name="TextBox 5988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990" name="TextBox 5989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991" name="TextBox 5990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26746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92" name="TextBox 599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93" name="TextBox 5992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94" name="TextBox 599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95" name="TextBox 5994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96" name="TextBox 5995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97" name="TextBox 5996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98" name="TextBox 5997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99" name="TextBox 5998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00" name="TextBox 5999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01" name="TextBox 6000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02" name="TextBox 600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03" name="TextBox 6002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04" name="TextBox 600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05" name="TextBox 6004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06" name="TextBox 6005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07" name="TextBox 6006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08" name="TextBox 6007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09" name="TextBox 6008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10" name="TextBox 6009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11" name="TextBox 6010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12" name="TextBox 601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13" name="TextBox 6012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14" name="TextBox 601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15" name="TextBox 6014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16" name="TextBox 6015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17" name="TextBox 6016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18" name="TextBox 6017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19" name="TextBox 6018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20" name="TextBox 6019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21" name="TextBox 6020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22" name="TextBox 602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23" name="TextBox 6022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548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24" name="TextBox 602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25" name="TextBox 6024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26" name="TextBox 6025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27" name="TextBox 6026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28" name="TextBox 6027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29" name="TextBox 6028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30" name="TextBox 6029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31" name="TextBox 6030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32" name="TextBox 603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33" name="TextBox 6032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34" name="TextBox 603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35" name="TextBox 6034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36" name="TextBox 6035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37" name="TextBox 6036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38" name="TextBox 6037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39" name="TextBox 6038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40" name="TextBox 6039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41" name="TextBox 6040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42" name="TextBox 604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43" name="TextBox 6042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44" name="TextBox 604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45" name="TextBox 6044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46" name="TextBox 6045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47" name="TextBox 6046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48" name="TextBox 6047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49" name="TextBox 6048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50" name="TextBox 6049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51" name="TextBox 605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52" name="TextBox 605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53" name="TextBox 6052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54" name="TextBox 605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55" name="TextBox 6054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56" name="TextBox 6055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057" name="TextBox 6056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8610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58" name="TextBox 6057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59" name="TextBox 6058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0" name="TextBox 6059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1" name="TextBox 6060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2" name="TextBox 606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3" name="TextBox 6062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4" name="TextBox 606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5" name="TextBox 6064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6" name="TextBox 6065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7" name="TextBox 6066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8" name="TextBox 6067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9" name="TextBox 6068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0" name="TextBox 6069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1" name="TextBox 6070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2" name="TextBox 607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3" name="TextBox 6072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4" name="TextBox 607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5" name="TextBox 6074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6" name="TextBox 6075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7" name="TextBox 6076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8" name="TextBox 6077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9" name="TextBox 6078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0" name="TextBox 6079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1" name="TextBox 608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2" name="TextBox 608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3" name="TextBox 6082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4" name="TextBox 608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5" name="TextBox 6084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6" name="TextBox 6085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7" name="TextBox 6086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8" name="TextBox 6087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9" name="TextBox 6088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0" name="TextBox 6089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1" name="TextBox 609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2" name="TextBox 609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3" name="TextBox 6092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4" name="TextBox 609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5" name="TextBox 6094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6" name="TextBox 6095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7" name="TextBox 6096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8" name="TextBox 6097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9" name="TextBox 6098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0" name="TextBox 6099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1" name="TextBox 6100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2" name="TextBox 610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3" name="TextBox 6102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4" name="TextBox 6103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5" name="TextBox 6104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6" name="TextBox 6105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7" name="TextBox 6106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8" name="TextBox 6107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9" name="TextBox 6108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0" name="TextBox 6109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1" name="TextBox 6110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2" name="TextBox 611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3" name="TextBox 6112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4" name="TextBox 6113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5" name="TextBox 6114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6" name="TextBox 6115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7" name="TextBox 6116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8" name="TextBox 6117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9" name="TextBox 6118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0" name="TextBox 6119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1" name="TextBox 6120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2" name="TextBox 612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3" name="TextBox 6122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4" name="TextBox 6123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5" name="TextBox 6124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6" name="TextBox 6125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7" name="TextBox 6126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8" name="TextBox 6127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9" name="TextBox 6128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0" name="TextBox 6129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1" name="TextBox 6130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2" name="TextBox 613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3" name="TextBox 6132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4" name="TextBox 613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5" name="TextBox 6134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6" name="TextBox 6135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7" name="TextBox 6136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8" name="TextBox 6137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9" name="TextBox 6138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0" name="TextBox 6139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1" name="TextBox 6140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2" name="TextBox 614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3" name="TextBox 6142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4" name="TextBox 614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5" name="TextBox 6144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6" name="TextBox 6145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7" name="TextBox 6146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8" name="TextBox 6147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9" name="TextBox 6148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0" name="TextBox 6149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1" name="TextBox 6150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2" name="TextBox 615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3" name="TextBox 6152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4" name="TextBox 6153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5" name="TextBox 6154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6" name="TextBox 6155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7" name="TextBox 6156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8" name="TextBox 6157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9" name="TextBox 6158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0" name="TextBox 6159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1" name="TextBox 6160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2" name="TextBox 616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3" name="TextBox 6162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4" name="TextBox 616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5" name="TextBox 6164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6" name="TextBox 6165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7" name="TextBox 6166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8" name="TextBox 6167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9" name="TextBox 6168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70" name="TextBox 6169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71" name="TextBox 6170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72" name="TextBox 617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73" name="TextBox 6172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74" name="TextBox 6173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75" name="TextBox 6174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76" name="TextBox 6175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77" name="TextBox 6176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78" name="TextBox 6177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79" name="TextBox 6178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80" name="TextBox 6179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81" name="TextBox 6180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82" name="TextBox 618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83" name="TextBox 6182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84" name="TextBox 618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85" name="TextBox 6184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86" name="TextBox 6185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87" name="TextBox 6186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88" name="TextBox 6187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89" name="TextBox 6188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90" name="TextBox 6189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91" name="TextBox 6190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92" name="TextBox 619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93" name="TextBox 6192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94" name="TextBox 6193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95" name="TextBox 6194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96" name="TextBox 6195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97" name="TextBox 6196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98" name="TextBox 6197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199" name="TextBox 6198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00" name="TextBox 6199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01" name="TextBox 6200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02" name="TextBox 620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03" name="TextBox 6202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04" name="TextBox 6203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05" name="TextBox 6204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06" name="TextBox 6205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07" name="TextBox 6206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08" name="TextBox 6207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09" name="TextBox 6208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10" name="TextBox 6209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11" name="TextBox 6210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12" name="TextBox 621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13" name="TextBox 6212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14" name="TextBox 6213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15" name="TextBox 6214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16" name="TextBox 6215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17" name="TextBox 6216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18" name="TextBox 6217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19" name="TextBox 6218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0" name="TextBox 6219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1" name="TextBox 6220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2" name="TextBox 622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3" name="TextBox 6222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4" name="TextBox 6223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5" name="TextBox 6224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6" name="TextBox 6225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7" name="TextBox 6226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8" name="TextBox 6227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9" name="TextBox 6228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0" name="TextBox 6229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1" name="TextBox 6230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2" name="TextBox 623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3" name="TextBox 6232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4" name="TextBox 6233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5" name="TextBox 6234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6" name="TextBox 6235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7" name="TextBox 6236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38" name="TextBox 6237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39" name="TextBox 6238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40" name="TextBox 6239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41" name="TextBox 6240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42" name="TextBox 624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43" name="TextBox 6242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44" name="TextBox 624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45" name="TextBox 6244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46" name="TextBox 6245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47" name="TextBox 6246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48" name="TextBox 6247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49" name="TextBox 6248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50" name="TextBox 6249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51" name="TextBox 6250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2" name="TextBox 625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3" name="TextBox 6252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4" name="TextBox 6253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5" name="TextBox 6254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6" name="TextBox 6255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7" name="TextBox 6256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8" name="TextBox 6257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9" name="TextBox 6258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0" name="TextBox 6259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1" name="TextBox 6260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2" name="TextBox 626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3" name="TextBox 6262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4" name="TextBox 626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5" name="TextBox 6264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6" name="TextBox 6265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7" name="TextBox 6266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68" name="TextBox 6267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69" name="TextBox 6268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70" name="TextBox 6269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71" name="TextBox 6270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72" name="TextBox 627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73" name="TextBox 6272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74" name="TextBox 627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75" name="TextBox 6274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76" name="TextBox 6275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77" name="TextBox 6276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78" name="TextBox 6277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79" name="TextBox 6278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80" name="TextBox 6279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81" name="TextBox 6280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82" name="TextBox 628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6283" name="TextBox 6282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56616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84" name="TextBox 628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85" name="TextBox 6284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86" name="TextBox 6285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87" name="TextBox 6286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88" name="TextBox 6287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89" name="TextBox 6288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90" name="TextBox 6289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91" name="TextBox 6290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92" name="TextBox 629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93" name="TextBox 629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94" name="TextBox 6293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95" name="TextBox 6294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296" name="TextBox 6295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297" name="TextBox 6296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298" name="TextBox 6297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299" name="TextBox 6298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00" name="TextBox 6299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01" name="TextBox 6300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02" name="TextBox 630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03" name="TextBox 6302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04" name="TextBox 630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05" name="TextBox 6304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06" name="TextBox 6305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07" name="TextBox 6306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08" name="TextBox 6307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09" name="TextBox 6308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10" name="TextBox 6309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11" name="TextBox 6310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12" name="TextBox 631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13" name="TextBox 6312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14" name="TextBox 631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15" name="TextBox 6314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16" name="TextBox 6315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17" name="TextBox 6316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18" name="TextBox 6317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19" name="TextBox 6318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20" name="TextBox 6319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21" name="TextBox 6320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22" name="TextBox 632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23" name="TextBox 6322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24" name="TextBox 632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25" name="TextBox 6324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26" name="TextBox 6325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27" name="TextBox 6326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28" name="TextBox 6327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29" name="TextBox 6328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30" name="TextBox 6329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31" name="TextBox 6330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32" name="TextBox 633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33" name="TextBox 6332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84731" cy="264560"/>
    <xdr:sp macro="" textlink="">
      <xdr:nvSpPr>
        <xdr:cNvPr id="6334" name="TextBox 6333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8039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160020</xdr:colOff>
      <xdr:row>0</xdr:row>
      <xdr:rowOff>0</xdr:rowOff>
    </xdr:from>
    <xdr:ext cx="184731" cy="264560"/>
    <xdr:sp macro="" textlink="">
      <xdr:nvSpPr>
        <xdr:cNvPr id="6335" name="TextBox 6334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81991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36" name="TextBox 6335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37" name="TextBox 6336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38" name="TextBox 6337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39" name="TextBox 6338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40" name="TextBox 6339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41" name="TextBox 6340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42" name="TextBox 634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43" name="TextBox 6342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44" name="TextBox 634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45" name="TextBox 6344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46" name="TextBox 6345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47" name="TextBox 6346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48" name="TextBox 6347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49" name="TextBox 6348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50" name="TextBox 6349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51" name="TextBox 6350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52" name="TextBox 635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53" name="TextBox 6352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54" name="TextBox 6353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55" name="TextBox 6354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56" name="TextBox 6355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57" name="TextBox 6356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58" name="TextBox 6357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59" name="TextBox 6358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60" name="TextBox 6359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61" name="TextBox 6360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62" name="TextBox 636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63" name="TextBox 6362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64" name="TextBox 6363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65" name="TextBox 6364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66" name="TextBox 6365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67" name="TextBox 6366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68" name="TextBox 6367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69" name="TextBox 6368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70" name="TextBox 6369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71" name="TextBox 6370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72" name="TextBox 637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73" name="TextBox 6372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74" name="TextBox 637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75" name="TextBox 6374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76" name="TextBox 6375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77" name="TextBox 6376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378" name="TextBox 6377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379" name="TextBox 6378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380" name="TextBox 6379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381" name="TextBox 6380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82" name="TextBox 638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83" name="TextBox 6382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84" name="TextBox 6383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85" name="TextBox 6384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86" name="TextBox 6385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87" name="TextBox 6386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88" name="TextBox 6387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89" name="TextBox 6388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90" name="TextBox 6389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91" name="TextBox 6390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92" name="TextBox 639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93" name="TextBox 6392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94" name="TextBox 639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95" name="TextBox 6394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96" name="TextBox 6395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97" name="TextBox 6396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98" name="TextBox 6397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399" name="TextBox 6398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00" name="TextBox 6399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01" name="TextBox 6400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02" name="TextBox 640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03" name="TextBox 6402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04" name="TextBox 6403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05" name="TextBox 6404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06" name="TextBox 6405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07" name="TextBox 6406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08" name="TextBox 6407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09" name="TextBox 6408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10" name="TextBox 6409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11" name="TextBox 6410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12" name="TextBox 641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13" name="TextBox 6412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14" name="TextBox 6413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15" name="TextBox 6414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16" name="TextBox 6415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17" name="TextBox 6416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18" name="TextBox 6417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19" name="TextBox 6418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20" name="TextBox 6419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21" name="TextBox 6420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22" name="TextBox 642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23" name="TextBox 6422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24" name="TextBox 6423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25" name="TextBox 6424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735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26" name="TextBox 6425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27" name="TextBox 6426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28" name="TextBox 6427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29" name="TextBox 6428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30" name="TextBox 6429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31" name="TextBox 6430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32" name="TextBox 643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33" name="TextBox 6432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34" name="TextBox 6433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35" name="TextBox 6434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36" name="TextBox 6435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37" name="TextBox 6436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38" name="TextBox 6437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39" name="TextBox 6438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40" name="TextBox 6439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41" name="TextBox 6440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42" name="TextBox 644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43" name="TextBox 6442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44" name="TextBox 644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45" name="TextBox 6444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46" name="TextBox 6445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47" name="TextBox 6446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48" name="TextBox 6447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49" name="TextBox 6448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50" name="TextBox 6449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51" name="TextBox 6450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52" name="TextBox 645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53" name="TextBox 6452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54" name="TextBox 645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55" name="TextBox 6454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56" name="TextBox 6455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57" name="TextBox 6456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58" name="TextBox 6457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59" name="TextBox 6458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60" name="TextBox 6459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61" name="TextBox 6460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62" name="TextBox 646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63" name="TextBox 6462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64" name="TextBox 646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65" name="TextBox 6464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66" name="TextBox 6465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67" name="TextBox 6466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68" name="TextBox 6467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69" name="TextBox 6468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70" name="TextBox 6469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71" name="TextBox 6470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72" name="TextBox 6471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73" name="TextBox 6472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74" name="TextBox 6473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75" name="TextBox 6474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76" name="TextBox 6475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77" name="TextBox 6476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78" name="TextBox 6477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79" name="TextBox 6478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80" name="TextBox 6479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81" name="TextBox 6480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82" name="TextBox 648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83" name="TextBox 6482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84" name="TextBox 648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85" name="TextBox 6484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86" name="TextBox 6485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87" name="TextBox 6486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88" name="TextBox 6487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89" name="TextBox 6488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90" name="TextBox 6489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91" name="TextBox 6490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92" name="TextBox 649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493" name="TextBox 6492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94" name="TextBox 649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95" name="TextBox 6494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96" name="TextBox 6495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97" name="TextBox 6496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98" name="TextBox 6497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499" name="TextBox 6498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00" name="TextBox 6499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01" name="TextBox 6500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02" name="TextBox 650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03" name="TextBox 6502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04" name="TextBox 6503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05" name="TextBox 6504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06" name="TextBox 6505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07" name="TextBox 6506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08" name="TextBox 6507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09" name="TextBox 6508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10" name="TextBox 650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11" name="TextBox 651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12" name="TextBox 651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13" name="TextBox 6512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14" name="TextBox 651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15" name="TextBox 6514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16" name="TextBox 6515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17" name="TextBox 6516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18" name="TextBox 6517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19" name="TextBox 6518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20" name="TextBox 6519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21" name="TextBox 6520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22" name="TextBox 652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23" name="TextBox 6522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24" name="TextBox 652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25" name="TextBox 6524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26" name="TextBox 6525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27" name="TextBox 6526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28" name="TextBox 6527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29" name="TextBox 652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30" name="TextBox 652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31" name="TextBox 653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32" name="TextBox 653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33" name="TextBox 6532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34" name="TextBox 653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35" name="TextBox 6534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36" name="TextBox 6535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37" name="TextBox 6536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38" name="TextBox 6537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39" name="TextBox 6538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40" name="TextBox 6539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41" name="TextBox 6540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42" name="TextBox 65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43" name="TextBox 65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44" name="TextBox 65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45" name="TextBox 6544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46" name="TextBox 6545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47" name="TextBox 6546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48" name="TextBox 6547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49" name="TextBox 6548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50" name="TextBox 6549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51" name="TextBox 6550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52" name="TextBox 655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53" name="TextBox 6552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54" name="TextBox 655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55" name="TextBox 655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56" name="TextBox 655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57" name="TextBox 655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58" name="TextBox 6557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59" name="TextBox 6558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60" name="TextBox 6559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84731" cy="264560"/>
    <xdr:sp macro="" textlink="">
      <xdr:nvSpPr>
        <xdr:cNvPr id="6561" name="TextBox 6560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405634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62" name="TextBox 656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63" name="TextBox 6562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64" name="TextBox 656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65" name="TextBox 6564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66" name="TextBox 6565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67" name="TextBox 6566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68" name="TextBox 6567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69" name="TextBox 6568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70" name="TextBox 6569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71" name="TextBox 6570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72" name="TextBox 657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6573" name="TextBox 6572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4053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74" name="TextBox 657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75" name="TextBox 6574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76" name="TextBox 6575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6577" name="TextBox 6576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47472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760095</xdr:colOff>
      <xdr:row>0</xdr:row>
      <xdr:rowOff>0</xdr:rowOff>
    </xdr:from>
    <xdr:ext cx="187152" cy="272607"/>
    <xdr:sp macro="" textlink="">
      <xdr:nvSpPr>
        <xdr:cNvPr id="6578" name="TextBox 6577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9965055" y="0"/>
          <a:ext cx="187152" cy="272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760095</xdr:colOff>
      <xdr:row>0</xdr:row>
      <xdr:rowOff>0</xdr:rowOff>
    </xdr:from>
    <xdr:ext cx="187152" cy="272607"/>
    <xdr:sp macro="" textlink="">
      <xdr:nvSpPr>
        <xdr:cNvPr id="6579" name="TextBox 6578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9965055" y="0"/>
          <a:ext cx="187152" cy="272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760095</xdr:colOff>
      <xdr:row>0</xdr:row>
      <xdr:rowOff>0</xdr:rowOff>
    </xdr:from>
    <xdr:ext cx="184731" cy="264560"/>
    <xdr:sp macro="" textlink="">
      <xdr:nvSpPr>
        <xdr:cNvPr id="6580" name="TextBox 6579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996505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760095</xdr:colOff>
      <xdr:row>0</xdr:row>
      <xdr:rowOff>0</xdr:rowOff>
    </xdr:from>
    <xdr:ext cx="184731" cy="264560"/>
    <xdr:sp macro="" textlink="">
      <xdr:nvSpPr>
        <xdr:cNvPr id="6581" name="TextBox 6580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996505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20"/>
  <sheetViews>
    <sheetView tabSelected="1" topLeftCell="C22" zoomScale="120" zoomScaleNormal="120" workbookViewId="0">
      <selection activeCell="D310" sqref="D1:L1048576"/>
    </sheetView>
  </sheetViews>
  <sheetFormatPr defaultColWidth="4.5546875" defaultRowHeight="12" x14ac:dyDescent="0.3"/>
  <cols>
    <col min="1" max="1" width="4.5546875" style="19" customWidth="1"/>
    <col min="2" max="2" width="8.44140625" style="19" customWidth="1"/>
    <col min="3" max="3" width="19.33203125" style="107" customWidth="1"/>
    <col min="4" max="12" width="7.44140625" style="170" customWidth="1"/>
    <col min="13" max="13" width="5.33203125" style="94" customWidth="1"/>
    <col min="14" max="14" width="4.44140625" style="94" customWidth="1"/>
    <col min="15" max="15" width="6.5546875" style="19" customWidth="1"/>
    <col min="16" max="16" width="6.44140625" style="19" customWidth="1"/>
    <col min="17" max="17" width="7.77734375" style="93" customWidth="1"/>
    <col min="18" max="18" width="11.109375" style="93" customWidth="1"/>
    <col min="19" max="19" width="8.88671875" style="19" customWidth="1"/>
    <col min="20" max="21" width="10.33203125" style="19" customWidth="1"/>
    <col min="22" max="255" width="8.88671875" style="19" customWidth="1"/>
    <col min="256" max="256" width="4.5546875" style="19"/>
    <col min="257" max="257" width="4.5546875" style="19" customWidth="1"/>
    <col min="258" max="258" width="3.44140625" style="19" customWidth="1"/>
    <col min="259" max="259" width="20.77734375" style="19" customWidth="1"/>
    <col min="260" max="261" width="10.21875" style="19" customWidth="1"/>
    <col min="262" max="262" width="9.88671875" style="19" customWidth="1"/>
    <col min="263" max="263" width="10.109375" style="19" customWidth="1"/>
    <col min="264" max="264" width="7.33203125" style="19" customWidth="1"/>
    <col min="265" max="265" width="6" style="19" customWidth="1"/>
    <col min="266" max="266" width="10" style="19" customWidth="1"/>
    <col min="267" max="267" width="8" style="19" customWidth="1"/>
    <col min="268" max="268" width="8.5546875" style="19" customWidth="1"/>
    <col min="269" max="269" width="4.5546875" style="19" customWidth="1"/>
    <col min="270" max="270" width="3.5546875" style="19" customWidth="1"/>
    <col min="271" max="271" width="8.33203125" style="19" customWidth="1"/>
    <col min="272" max="272" width="8.6640625" style="19" customWidth="1"/>
    <col min="273" max="274" width="11.109375" style="19" customWidth="1"/>
    <col min="275" max="511" width="8.88671875" style="19" customWidth="1"/>
    <col min="512" max="512" width="4.5546875" style="19"/>
    <col min="513" max="513" width="4.5546875" style="19" customWidth="1"/>
    <col min="514" max="514" width="3.44140625" style="19" customWidth="1"/>
    <col min="515" max="515" width="20.77734375" style="19" customWidth="1"/>
    <col min="516" max="517" width="10.21875" style="19" customWidth="1"/>
    <col min="518" max="518" width="9.88671875" style="19" customWidth="1"/>
    <col min="519" max="519" width="10.109375" style="19" customWidth="1"/>
    <col min="520" max="520" width="7.33203125" style="19" customWidth="1"/>
    <col min="521" max="521" width="6" style="19" customWidth="1"/>
    <col min="522" max="522" width="10" style="19" customWidth="1"/>
    <col min="523" max="523" width="8" style="19" customWidth="1"/>
    <col min="524" max="524" width="8.5546875" style="19" customWidth="1"/>
    <col min="525" max="525" width="4.5546875" style="19" customWidth="1"/>
    <col min="526" max="526" width="3.5546875" style="19" customWidth="1"/>
    <col min="527" max="527" width="8.33203125" style="19" customWidth="1"/>
    <col min="528" max="528" width="8.6640625" style="19" customWidth="1"/>
    <col min="529" max="530" width="11.109375" style="19" customWidth="1"/>
    <col min="531" max="767" width="8.88671875" style="19" customWidth="1"/>
    <col min="768" max="768" width="4.5546875" style="19"/>
    <col min="769" max="769" width="4.5546875" style="19" customWidth="1"/>
    <col min="770" max="770" width="3.44140625" style="19" customWidth="1"/>
    <col min="771" max="771" width="20.77734375" style="19" customWidth="1"/>
    <col min="772" max="773" width="10.21875" style="19" customWidth="1"/>
    <col min="774" max="774" width="9.88671875" style="19" customWidth="1"/>
    <col min="775" max="775" width="10.109375" style="19" customWidth="1"/>
    <col min="776" max="776" width="7.33203125" style="19" customWidth="1"/>
    <col min="777" max="777" width="6" style="19" customWidth="1"/>
    <col min="778" max="778" width="10" style="19" customWidth="1"/>
    <col min="779" max="779" width="8" style="19" customWidth="1"/>
    <col min="780" max="780" width="8.5546875" style="19" customWidth="1"/>
    <col min="781" max="781" width="4.5546875" style="19" customWidth="1"/>
    <col min="782" max="782" width="3.5546875" style="19" customWidth="1"/>
    <col min="783" max="783" width="8.33203125" style="19" customWidth="1"/>
    <col min="784" max="784" width="8.6640625" style="19" customWidth="1"/>
    <col min="785" max="786" width="11.109375" style="19" customWidth="1"/>
    <col min="787" max="1023" width="8.88671875" style="19" customWidth="1"/>
    <col min="1024" max="1024" width="4.5546875" style="19"/>
    <col min="1025" max="1025" width="4.5546875" style="19" customWidth="1"/>
    <col min="1026" max="1026" width="3.44140625" style="19" customWidth="1"/>
    <col min="1027" max="1027" width="20.77734375" style="19" customWidth="1"/>
    <col min="1028" max="1029" width="10.21875" style="19" customWidth="1"/>
    <col min="1030" max="1030" width="9.88671875" style="19" customWidth="1"/>
    <col min="1031" max="1031" width="10.109375" style="19" customWidth="1"/>
    <col min="1032" max="1032" width="7.33203125" style="19" customWidth="1"/>
    <col min="1033" max="1033" width="6" style="19" customWidth="1"/>
    <col min="1034" max="1034" width="10" style="19" customWidth="1"/>
    <col min="1035" max="1035" width="8" style="19" customWidth="1"/>
    <col min="1036" max="1036" width="8.5546875" style="19" customWidth="1"/>
    <col min="1037" max="1037" width="4.5546875" style="19" customWidth="1"/>
    <col min="1038" max="1038" width="3.5546875" style="19" customWidth="1"/>
    <col min="1039" max="1039" width="8.33203125" style="19" customWidth="1"/>
    <col min="1040" max="1040" width="8.6640625" style="19" customWidth="1"/>
    <col min="1041" max="1042" width="11.109375" style="19" customWidth="1"/>
    <col min="1043" max="1279" width="8.88671875" style="19" customWidth="1"/>
    <col min="1280" max="1280" width="4.5546875" style="19"/>
    <col min="1281" max="1281" width="4.5546875" style="19" customWidth="1"/>
    <col min="1282" max="1282" width="3.44140625" style="19" customWidth="1"/>
    <col min="1283" max="1283" width="20.77734375" style="19" customWidth="1"/>
    <col min="1284" max="1285" width="10.21875" style="19" customWidth="1"/>
    <col min="1286" max="1286" width="9.88671875" style="19" customWidth="1"/>
    <col min="1287" max="1287" width="10.109375" style="19" customWidth="1"/>
    <col min="1288" max="1288" width="7.33203125" style="19" customWidth="1"/>
    <col min="1289" max="1289" width="6" style="19" customWidth="1"/>
    <col min="1290" max="1290" width="10" style="19" customWidth="1"/>
    <col min="1291" max="1291" width="8" style="19" customWidth="1"/>
    <col min="1292" max="1292" width="8.5546875" style="19" customWidth="1"/>
    <col min="1293" max="1293" width="4.5546875" style="19" customWidth="1"/>
    <col min="1294" max="1294" width="3.5546875" style="19" customWidth="1"/>
    <col min="1295" max="1295" width="8.33203125" style="19" customWidth="1"/>
    <col min="1296" max="1296" width="8.6640625" style="19" customWidth="1"/>
    <col min="1297" max="1298" width="11.109375" style="19" customWidth="1"/>
    <col min="1299" max="1535" width="8.88671875" style="19" customWidth="1"/>
    <col min="1536" max="1536" width="4.5546875" style="19"/>
    <col min="1537" max="1537" width="4.5546875" style="19" customWidth="1"/>
    <col min="1538" max="1538" width="3.44140625" style="19" customWidth="1"/>
    <col min="1539" max="1539" width="20.77734375" style="19" customWidth="1"/>
    <col min="1540" max="1541" width="10.21875" style="19" customWidth="1"/>
    <col min="1542" max="1542" width="9.88671875" style="19" customWidth="1"/>
    <col min="1543" max="1543" width="10.109375" style="19" customWidth="1"/>
    <col min="1544" max="1544" width="7.33203125" style="19" customWidth="1"/>
    <col min="1545" max="1545" width="6" style="19" customWidth="1"/>
    <col min="1546" max="1546" width="10" style="19" customWidth="1"/>
    <col min="1547" max="1547" width="8" style="19" customWidth="1"/>
    <col min="1548" max="1548" width="8.5546875" style="19" customWidth="1"/>
    <col min="1549" max="1549" width="4.5546875" style="19" customWidth="1"/>
    <col min="1550" max="1550" width="3.5546875" style="19" customWidth="1"/>
    <col min="1551" max="1551" width="8.33203125" style="19" customWidth="1"/>
    <col min="1552" max="1552" width="8.6640625" style="19" customWidth="1"/>
    <col min="1553" max="1554" width="11.109375" style="19" customWidth="1"/>
    <col min="1555" max="1791" width="8.88671875" style="19" customWidth="1"/>
    <col min="1792" max="1792" width="4.5546875" style="19"/>
    <col min="1793" max="1793" width="4.5546875" style="19" customWidth="1"/>
    <col min="1794" max="1794" width="3.44140625" style="19" customWidth="1"/>
    <col min="1795" max="1795" width="20.77734375" style="19" customWidth="1"/>
    <col min="1796" max="1797" width="10.21875" style="19" customWidth="1"/>
    <col min="1798" max="1798" width="9.88671875" style="19" customWidth="1"/>
    <col min="1799" max="1799" width="10.109375" style="19" customWidth="1"/>
    <col min="1800" max="1800" width="7.33203125" style="19" customWidth="1"/>
    <col min="1801" max="1801" width="6" style="19" customWidth="1"/>
    <col min="1802" max="1802" width="10" style="19" customWidth="1"/>
    <col min="1803" max="1803" width="8" style="19" customWidth="1"/>
    <col min="1804" max="1804" width="8.5546875" style="19" customWidth="1"/>
    <col min="1805" max="1805" width="4.5546875" style="19" customWidth="1"/>
    <col min="1806" max="1806" width="3.5546875" style="19" customWidth="1"/>
    <col min="1807" max="1807" width="8.33203125" style="19" customWidth="1"/>
    <col min="1808" max="1808" width="8.6640625" style="19" customWidth="1"/>
    <col min="1809" max="1810" width="11.109375" style="19" customWidth="1"/>
    <col min="1811" max="2047" width="8.88671875" style="19" customWidth="1"/>
    <col min="2048" max="2048" width="4.5546875" style="19"/>
    <col min="2049" max="2049" width="4.5546875" style="19" customWidth="1"/>
    <col min="2050" max="2050" width="3.44140625" style="19" customWidth="1"/>
    <col min="2051" max="2051" width="20.77734375" style="19" customWidth="1"/>
    <col min="2052" max="2053" width="10.21875" style="19" customWidth="1"/>
    <col min="2054" max="2054" width="9.88671875" style="19" customWidth="1"/>
    <col min="2055" max="2055" width="10.109375" style="19" customWidth="1"/>
    <col min="2056" max="2056" width="7.33203125" style="19" customWidth="1"/>
    <col min="2057" max="2057" width="6" style="19" customWidth="1"/>
    <col min="2058" max="2058" width="10" style="19" customWidth="1"/>
    <col min="2059" max="2059" width="8" style="19" customWidth="1"/>
    <col min="2060" max="2060" width="8.5546875" style="19" customWidth="1"/>
    <col min="2061" max="2061" width="4.5546875" style="19" customWidth="1"/>
    <col min="2062" max="2062" width="3.5546875" style="19" customWidth="1"/>
    <col min="2063" max="2063" width="8.33203125" style="19" customWidth="1"/>
    <col min="2064" max="2064" width="8.6640625" style="19" customWidth="1"/>
    <col min="2065" max="2066" width="11.109375" style="19" customWidth="1"/>
    <col min="2067" max="2303" width="8.88671875" style="19" customWidth="1"/>
    <col min="2304" max="2304" width="4.5546875" style="19"/>
    <col min="2305" max="2305" width="4.5546875" style="19" customWidth="1"/>
    <col min="2306" max="2306" width="3.44140625" style="19" customWidth="1"/>
    <col min="2307" max="2307" width="20.77734375" style="19" customWidth="1"/>
    <col min="2308" max="2309" width="10.21875" style="19" customWidth="1"/>
    <col min="2310" max="2310" width="9.88671875" style="19" customWidth="1"/>
    <col min="2311" max="2311" width="10.109375" style="19" customWidth="1"/>
    <col min="2312" max="2312" width="7.33203125" style="19" customWidth="1"/>
    <col min="2313" max="2313" width="6" style="19" customWidth="1"/>
    <col min="2314" max="2314" width="10" style="19" customWidth="1"/>
    <col min="2315" max="2315" width="8" style="19" customWidth="1"/>
    <col min="2316" max="2316" width="8.5546875" style="19" customWidth="1"/>
    <col min="2317" max="2317" width="4.5546875" style="19" customWidth="1"/>
    <col min="2318" max="2318" width="3.5546875" style="19" customWidth="1"/>
    <col min="2319" max="2319" width="8.33203125" style="19" customWidth="1"/>
    <col min="2320" max="2320" width="8.6640625" style="19" customWidth="1"/>
    <col min="2321" max="2322" width="11.109375" style="19" customWidth="1"/>
    <col min="2323" max="2559" width="8.88671875" style="19" customWidth="1"/>
    <col min="2560" max="2560" width="4.5546875" style="19"/>
    <col min="2561" max="2561" width="4.5546875" style="19" customWidth="1"/>
    <col min="2562" max="2562" width="3.44140625" style="19" customWidth="1"/>
    <col min="2563" max="2563" width="20.77734375" style="19" customWidth="1"/>
    <col min="2564" max="2565" width="10.21875" style="19" customWidth="1"/>
    <col min="2566" max="2566" width="9.88671875" style="19" customWidth="1"/>
    <col min="2567" max="2567" width="10.109375" style="19" customWidth="1"/>
    <col min="2568" max="2568" width="7.33203125" style="19" customWidth="1"/>
    <col min="2569" max="2569" width="6" style="19" customWidth="1"/>
    <col min="2570" max="2570" width="10" style="19" customWidth="1"/>
    <col min="2571" max="2571" width="8" style="19" customWidth="1"/>
    <col min="2572" max="2572" width="8.5546875" style="19" customWidth="1"/>
    <col min="2573" max="2573" width="4.5546875" style="19" customWidth="1"/>
    <col min="2574" max="2574" width="3.5546875" style="19" customWidth="1"/>
    <col min="2575" max="2575" width="8.33203125" style="19" customWidth="1"/>
    <col min="2576" max="2576" width="8.6640625" style="19" customWidth="1"/>
    <col min="2577" max="2578" width="11.109375" style="19" customWidth="1"/>
    <col min="2579" max="2815" width="8.88671875" style="19" customWidth="1"/>
    <col min="2816" max="2816" width="4.5546875" style="19"/>
    <col min="2817" max="2817" width="4.5546875" style="19" customWidth="1"/>
    <col min="2818" max="2818" width="3.44140625" style="19" customWidth="1"/>
    <col min="2819" max="2819" width="20.77734375" style="19" customWidth="1"/>
    <col min="2820" max="2821" width="10.21875" style="19" customWidth="1"/>
    <col min="2822" max="2822" width="9.88671875" style="19" customWidth="1"/>
    <col min="2823" max="2823" width="10.109375" style="19" customWidth="1"/>
    <col min="2824" max="2824" width="7.33203125" style="19" customWidth="1"/>
    <col min="2825" max="2825" width="6" style="19" customWidth="1"/>
    <col min="2826" max="2826" width="10" style="19" customWidth="1"/>
    <col min="2827" max="2827" width="8" style="19" customWidth="1"/>
    <col min="2828" max="2828" width="8.5546875" style="19" customWidth="1"/>
    <col min="2829" max="2829" width="4.5546875" style="19" customWidth="1"/>
    <col min="2830" max="2830" width="3.5546875" style="19" customWidth="1"/>
    <col min="2831" max="2831" width="8.33203125" style="19" customWidth="1"/>
    <col min="2832" max="2832" width="8.6640625" style="19" customWidth="1"/>
    <col min="2833" max="2834" width="11.109375" style="19" customWidth="1"/>
    <col min="2835" max="3071" width="8.88671875" style="19" customWidth="1"/>
    <col min="3072" max="3072" width="4.5546875" style="19"/>
    <col min="3073" max="3073" width="4.5546875" style="19" customWidth="1"/>
    <col min="3074" max="3074" width="3.44140625" style="19" customWidth="1"/>
    <col min="3075" max="3075" width="20.77734375" style="19" customWidth="1"/>
    <col min="3076" max="3077" width="10.21875" style="19" customWidth="1"/>
    <col min="3078" max="3078" width="9.88671875" style="19" customWidth="1"/>
    <col min="3079" max="3079" width="10.109375" style="19" customWidth="1"/>
    <col min="3080" max="3080" width="7.33203125" style="19" customWidth="1"/>
    <col min="3081" max="3081" width="6" style="19" customWidth="1"/>
    <col min="3082" max="3082" width="10" style="19" customWidth="1"/>
    <col min="3083" max="3083" width="8" style="19" customWidth="1"/>
    <col min="3084" max="3084" width="8.5546875" style="19" customWidth="1"/>
    <col min="3085" max="3085" width="4.5546875" style="19" customWidth="1"/>
    <col min="3086" max="3086" width="3.5546875" style="19" customWidth="1"/>
    <col min="3087" max="3087" width="8.33203125" style="19" customWidth="1"/>
    <col min="3088" max="3088" width="8.6640625" style="19" customWidth="1"/>
    <col min="3089" max="3090" width="11.109375" style="19" customWidth="1"/>
    <col min="3091" max="3327" width="8.88671875" style="19" customWidth="1"/>
    <col min="3328" max="3328" width="4.5546875" style="19"/>
    <col min="3329" max="3329" width="4.5546875" style="19" customWidth="1"/>
    <col min="3330" max="3330" width="3.44140625" style="19" customWidth="1"/>
    <col min="3331" max="3331" width="20.77734375" style="19" customWidth="1"/>
    <col min="3332" max="3333" width="10.21875" style="19" customWidth="1"/>
    <col min="3334" max="3334" width="9.88671875" style="19" customWidth="1"/>
    <col min="3335" max="3335" width="10.109375" style="19" customWidth="1"/>
    <col min="3336" max="3336" width="7.33203125" style="19" customWidth="1"/>
    <col min="3337" max="3337" width="6" style="19" customWidth="1"/>
    <col min="3338" max="3338" width="10" style="19" customWidth="1"/>
    <col min="3339" max="3339" width="8" style="19" customWidth="1"/>
    <col min="3340" max="3340" width="8.5546875" style="19" customWidth="1"/>
    <col min="3341" max="3341" width="4.5546875" style="19" customWidth="1"/>
    <col min="3342" max="3342" width="3.5546875" style="19" customWidth="1"/>
    <col min="3343" max="3343" width="8.33203125" style="19" customWidth="1"/>
    <col min="3344" max="3344" width="8.6640625" style="19" customWidth="1"/>
    <col min="3345" max="3346" width="11.109375" style="19" customWidth="1"/>
    <col min="3347" max="3583" width="8.88671875" style="19" customWidth="1"/>
    <col min="3584" max="3584" width="4.5546875" style="19"/>
    <col min="3585" max="3585" width="4.5546875" style="19" customWidth="1"/>
    <col min="3586" max="3586" width="3.44140625" style="19" customWidth="1"/>
    <col min="3587" max="3587" width="20.77734375" style="19" customWidth="1"/>
    <col min="3588" max="3589" width="10.21875" style="19" customWidth="1"/>
    <col min="3590" max="3590" width="9.88671875" style="19" customWidth="1"/>
    <col min="3591" max="3591" width="10.109375" style="19" customWidth="1"/>
    <col min="3592" max="3592" width="7.33203125" style="19" customWidth="1"/>
    <col min="3593" max="3593" width="6" style="19" customWidth="1"/>
    <col min="3594" max="3594" width="10" style="19" customWidth="1"/>
    <col min="3595" max="3595" width="8" style="19" customWidth="1"/>
    <col min="3596" max="3596" width="8.5546875" style="19" customWidth="1"/>
    <col min="3597" max="3597" width="4.5546875" style="19" customWidth="1"/>
    <col min="3598" max="3598" width="3.5546875" style="19" customWidth="1"/>
    <col min="3599" max="3599" width="8.33203125" style="19" customWidth="1"/>
    <col min="3600" max="3600" width="8.6640625" style="19" customWidth="1"/>
    <col min="3601" max="3602" width="11.109375" style="19" customWidth="1"/>
    <col min="3603" max="3839" width="8.88671875" style="19" customWidth="1"/>
    <col min="3840" max="3840" width="4.5546875" style="19"/>
    <col min="3841" max="3841" width="4.5546875" style="19" customWidth="1"/>
    <col min="3842" max="3842" width="3.44140625" style="19" customWidth="1"/>
    <col min="3843" max="3843" width="20.77734375" style="19" customWidth="1"/>
    <col min="3844" max="3845" width="10.21875" style="19" customWidth="1"/>
    <col min="3846" max="3846" width="9.88671875" style="19" customWidth="1"/>
    <col min="3847" max="3847" width="10.109375" style="19" customWidth="1"/>
    <col min="3848" max="3848" width="7.33203125" style="19" customWidth="1"/>
    <col min="3849" max="3849" width="6" style="19" customWidth="1"/>
    <col min="3850" max="3850" width="10" style="19" customWidth="1"/>
    <col min="3851" max="3851" width="8" style="19" customWidth="1"/>
    <col min="3852" max="3852" width="8.5546875" style="19" customWidth="1"/>
    <col min="3853" max="3853" width="4.5546875" style="19" customWidth="1"/>
    <col min="3854" max="3854" width="3.5546875" style="19" customWidth="1"/>
    <col min="3855" max="3855" width="8.33203125" style="19" customWidth="1"/>
    <col min="3856" max="3856" width="8.6640625" style="19" customWidth="1"/>
    <col min="3857" max="3858" width="11.109375" style="19" customWidth="1"/>
    <col min="3859" max="4095" width="8.88671875" style="19" customWidth="1"/>
    <col min="4096" max="4096" width="4.5546875" style="19"/>
    <col min="4097" max="4097" width="4.5546875" style="19" customWidth="1"/>
    <col min="4098" max="4098" width="3.44140625" style="19" customWidth="1"/>
    <col min="4099" max="4099" width="20.77734375" style="19" customWidth="1"/>
    <col min="4100" max="4101" width="10.21875" style="19" customWidth="1"/>
    <col min="4102" max="4102" width="9.88671875" style="19" customWidth="1"/>
    <col min="4103" max="4103" width="10.109375" style="19" customWidth="1"/>
    <col min="4104" max="4104" width="7.33203125" style="19" customWidth="1"/>
    <col min="4105" max="4105" width="6" style="19" customWidth="1"/>
    <col min="4106" max="4106" width="10" style="19" customWidth="1"/>
    <col min="4107" max="4107" width="8" style="19" customWidth="1"/>
    <col min="4108" max="4108" width="8.5546875" style="19" customWidth="1"/>
    <col min="4109" max="4109" width="4.5546875" style="19" customWidth="1"/>
    <col min="4110" max="4110" width="3.5546875" style="19" customWidth="1"/>
    <col min="4111" max="4111" width="8.33203125" style="19" customWidth="1"/>
    <col min="4112" max="4112" width="8.6640625" style="19" customWidth="1"/>
    <col min="4113" max="4114" width="11.109375" style="19" customWidth="1"/>
    <col min="4115" max="4351" width="8.88671875" style="19" customWidth="1"/>
    <col min="4352" max="4352" width="4.5546875" style="19"/>
    <col min="4353" max="4353" width="4.5546875" style="19" customWidth="1"/>
    <col min="4354" max="4354" width="3.44140625" style="19" customWidth="1"/>
    <col min="4355" max="4355" width="20.77734375" style="19" customWidth="1"/>
    <col min="4356" max="4357" width="10.21875" style="19" customWidth="1"/>
    <col min="4358" max="4358" width="9.88671875" style="19" customWidth="1"/>
    <col min="4359" max="4359" width="10.109375" style="19" customWidth="1"/>
    <col min="4360" max="4360" width="7.33203125" style="19" customWidth="1"/>
    <col min="4361" max="4361" width="6" style="19" customWidth="1"/>
    <col min="4362" max="4362" width="10" style="19" customWidth="1"/>
    <col min="4363" max="4363" width="8" style="19" customWidth="1"/>
    <col min="4364" max="4364" width="8.5546875" style="19" customWidth="1"/>
    <col min="4365" max="4365" width="4.5546875" style="19" customWidth="1"/>
    <col min="4366" max="4366" width="3.5546875" style="19" customWidth="1"/>
    <col min="4367" max="4367" width="8.33203125" style="19" customWidth="1"/>
    <col min="4368" max="4368" width="8.6640625" style="19" customWidth="1"/>
    <col min="4369" max="4370" width="11.109375" style="19" customWidth="1"/>
    <col min="4371" max="4607" width="8.88671875" style="19" customWidth="1"/>
    <col min="4608" max="4608" width="4.5546875" style="19"/>
    <col min="4609" max="4609" width="4.5546875" style="19" customWidth="1"/>
    <col min="4610" max="4610" width="3.44140625" style="19" customWidth="1"/>
    <col min="4611" max="4611" width="20.77734375" style="19" customWidth="1"/>
    <col min="4612" max="4613" width="10.21875" style="19" customWidth="1"/>
    <col min="4614" max="4614" width="9.88671875" style="19" customWidth="1"/>
    <col min="4615" max="4615" width="10.109375" style="19" customWidth="1"/>
    <col min="4616" max="4616" width="7.33203125" style="19" customWidth="1"/>
    <col min="4617" max="4617" width="6" style="19" customWidth="1"/>
    <col min="4618" max="4618" width="10" style="19" customWidth="1"/>
    <col min="4619" max="4619" width="8" style="19" customWidth="1"/>
    <col min="4620" max="4620" width="8.5546875" style="19" customWidth="1"/>
    <col min="4621" max="4621" width="4.5546875" style="19" customWidth="1"/>
    <col min="4622" max="4622" width="3.5546875" style="19" customWidth="1"/>
    <col min="4623" max="4623" width="8.33203125" style="19" customWidth="1"/>
    <col min="4624" max="4624" width="8.6640625" style="19" customWidth="1"/>
    <col min="4625" max="4626" width="11.109375" style="19" customWidth="1"/>
    <col min="4627" max="4863" width="8.88671875" style="19" customWidth="1"/>
    <col min="4864" max="4864" width="4.5546875" style="19"/>
    <col min="4865" max="4865" width="4.5546875" style="19" customWidth="1"/>
    <col min="4866" max="4866" width="3.44140625" style="19" customWidth="1"/>
    <col min="4867" max="4867" width="20.77734375" style="19" customWidth="1"/>
    <col min="4868" max="4869" width="10.21875" style="19" customWidth="1"/>
    <col min="4870" max="4870" width="9.88671875" style="19" customWidth="1"/>
    <col min="4871" max="4871" width="10.109375" style="19" customWidth="1"/>
    <col min="4872" max="4872" width="7.33203125" style="19" customWidth="1"/>
    <col min="4873" max="4873" width="6" style="19" customWidth="1"/>
    <col min="4874" max="4874" width="10" style="19" customWidth="1"/>
    <col min="4875" max="4875" width="8" style="19" customWidth="1"/>
    <col min="4876" max="4876" width="8.5546875" style="19" customWidth="1"/>
    <col min="4877" max="4877" width="4.5546875" style="19" customWidth="1"/>
    <col min="4878" max="4878" width="3.5546875" style="19" customWidth="1"/>
    <col min="4879" max="4879" width="8.33203125" style="19" customWidth="1"/>
    <col min="4880" max="4880" width="8.6640625" style="19" customWidth="1"/>
    <col min="4881" max="4882" width="11.109375" style="19" customWidth="1"/>
    <col min="4883" max="5119" width="8.88671875" style="19" customWidth="1"/>
    <col min="5120" max="5120" width="4.5546875" style="19"/>
    <col min="5121" max="5121" width="4.5546875" style="19" customWidth="1"/>
    <col min="5122" max="5122" width="3.44140625" style="19" customWidth="1"/>
    <col min="5123" max="5123" width="20.77734375" style="19" customWidth="1"/>
    <col min="5124" max="5125" width="10.21875" style="19" customWidth="1"/>
    <col min="5126" max="5126" width="9.88671875" style="19" customWidth="1"/>
    <col min="5127" max="5127" width="10.109375" style="19" customWidth="1"/>
    <col min="5128" max="5128" width="7.33203125" style="19" customWidth="1"/>
    <col min="5129" max="5129" width="6" style="19" customWidth="1"/>
    <col min="5130" max="5130" width="10" style="19" customWidth="1"/>
    <col min="5131" max="5131" width="8" style="19" customWidth="1"/>
    <col min="5132" max="5132" width="8.5546875" style="19" customWidth="1"/>
    <col min="5133" max="5133" width="4.5546875" style="19" customWidth="1"/>
    <col min="5134" max="5134" width="3.5546875" style="19" customWidth="1"/>
    <col min="5135" max="5135" width="8.33203125" style="19" customWidth="1"/>
    <col min="5136" max="5136" width="8.6640625" style="19" customWidth="1"/>
    <col min="5137" max="5138" width="11.109375" style="19" customWidth="1"/>
    <col min="5139" max="5375" width="8.88671875" style="19" customWidth="1"/>
    <col min="5376" max="5376" width="4.5546875" style="19"/>
    <col min="5377" max="5377" width="4.5546875" style="19" customWidth="1"/>
    <col min="5378" max="5378" width="3.44140625" style="19" customWidth="1"/>
    <col min="5379" max="5379" width="20.77734375" style="19" customWidth="1"/>
    <col min="5380" max="5381" width="10.21875" style="19" customWidth="1"/>
    <col min="5382" max="5382" width="9.88671875" style="19" customWidth="1"/>
    <col min="5383" max="5383" width="10.109375" style="19" customWidth="1"/>
    <col min="5384" max="5384" width="7.33203125" style="19" customWidth="1"/>
    <col min="5385" max="5385" width="6" style="19" customWidth="1"/>
    <col min="5386" max="5386" width="10" style="19" customWidth="1"/>
    <col min="5387" max="5387" width="8" style="19" customWidth="1"/>
    <col min="5388" max="5388" width="8.5546875" style="19" customWidth="1"/>
    <col min="5389" max="5389" width="4.5546875" style="19" customWidth="1"/>
    <col min="5390" max="5390" width="3.5546875" style="19" customWidth="1"/>
    <col min="5391" max="5391" width="8.33203125" style="19" customWidth="1"/>
    <col min="5392" max="5392" width="8.6640625" style="19" customWidth="1"/>
    <col min="5393" max="5394" width="11.109375" style="19" customWidth="1"/>
    <col min="5395" max="5631" width="8.88671875" style="19" customWidth="1"/>
    <col min="5632" max="5632" width="4.5546875" style="19"/>
    <col min="5633" max="5633" width="4.5546875" style="19" customWidth="1"/>
    <col min="5634" max="5634" width="3.44140625" style="19" customWidth="1"/>
    <col min="5635" max="5635" width="20.77734375" style="19" customWidth="1"/>
    <col min="5636" max="5637" width="10.21875" style="19" customWidth="1"/>
    <col min="5638" max="5638" width="9.88671875" style="19" customWidth="1"/>
    <col min="5639" max="5639" width="10.109375" style="19" customWidth="1"/>
    <col min="5640" max="5640" width="7.33203125" style="19" customWidth="1"/>
    <col min="5641" max="5641" width="6" style="19" customWidth="1"/>
    <col min="5642" max="5642" width="10" style="19" customWidth="1"/>
    <col min="5643" max="5643" width="8" style="19" customWidth="1"/>
    <col min="5644" max="5644" width="8.5546875" style="19" customWidth="1"/>
    <col min="5645" max="5645" width="4.5546875" style="19" customWidth="1"/>
    <col min="5646" max="5646" width="3.5546875" style="19" customWidth="1"/>
    <col min="5647" max="5647" width="8.33203125" style="19" customWidth="1"/>
    <col min="5648" max="5648" width="8.6640625" style="19" customWidth="1"/>
    <col min="5649" max="5650" width="11.109375" style="19" customWidth="1"/>
    <col min="5651" max="5887" width="8.88671875" style="19" customWidth="1"/>
    <col min="5888" max="5888" width="4.5546875" style="19"/>
    <col min="5889" max="5889" width="4.5546875" style="19" customWidth="1"/>
    <col min="5890" max="5890" width="3.44140625" style="19" customWidth="1"/>
    <col min="5891" max="5891" width="20.77734375" style="19" customWidth="1"/>
    <col min="5892" max="5893" width="10.21875" style="19" customWidth="1"/>
    <col min="5894" max="5894" width="9.88671875" style="19" customWidth="1"/>
    <col min="5895" max="5895" width="10.109375" style="19" customWidth="1"/>
    <col min="5896" max="5896" width="7.33203125" style="19" customWidth="1"/>
    <col min="5897" max="5897" width="6" style="19" customWidth="1"/>
    <col min="5898" max="5898" width="10" style="19" customWidth="1"/>
    <col min="5899" max="5899" width="8" style="19" customWidth="1"/>
    <col min="5900" max="5900" width="8.5546875" style="19" customWidth="1"/>
    <col min="5901" max="5901" width="4.5546875" style="19" customWidth="1"/>
    <col min="5902" max="5902" width="3.5546875" style="19" customWidth="1"/>
    <col min="5903" max="5903" width="8.33203125" style="19" customWidth="1"/>
    <col min="5904" max="5904" width="8.6640625" style="19" customWidth="1"/>
    <col min="5905" max="5906" width="11.109375" style="19" customWidth="1"/>
    <col min="5907" max="6143" width="8.88671875" style="19" customWidth="1"/>
    <col min="6144" max="6144" width="4.5546875" style="19"/>
    <col min="6145" max="6145" width="4.5546875" style="19" customWidth="1"/>
    <col min="6146" max="6146" width="3.44140625" style="19" customWidth="1"/>
    <col min="6147" max="6147" width="20.77734375" style="19" customWidth="1"/>
    <col min="6148" max="6149" width="10.21875" style="19" customWidth="1"/>
    <col min="6150" max="6150" width="9.88671875" style="19" customWidth="1"/>
    <col min="6151" max="6151" width="10.109375" style="19" customWidth="1"/>
    <col min="6152" max="6152" width="7.33203125" style="19" customWidth="1"/>
    <col min="6153" max="6153" width="6" style="19" customWidth="1"/>
    <col min="6154" max="6154" width="10" style="19" customWidth="1"/>
    <col min="6155" max="6155" width="8" style="19" customWidth="1"/>
    <col min="6156" max="6156" width="8.5546875" style="19" customWidth="1"/>
    <col min="6157" max="6157" width="4.5546875" style="19" customWidth="1"/>
    <col min="6158" max="6158" width="3.5546875" style="19" customWidth="1"/>
    <col min="6159" max="6159" width="8.33203125" style="19" customWidth="1"/>
    <col min="6160" max="6160" width="8.6640625" style="19" customWidth="1"/>
    <col min="6161" max="6162" width="11.109375" style="19" customWidth="1"/>
    <col min="6163" max="6399" width="8.88671875" style="19" customWidth="1"/>
    <col min="6400" max="6400" width="4.5546875" style="19"/>
    <col min="6401" max="6401" width="4.5546875" style="19" customWidth="1"/>
    <col min="6402" max="6402" width="3.44140625" style="19" customWidth="1"/>
    <col min="6403" max="6403" width="20.77734375" style="19" customWidth="1"/>
    <col min="6404" max="6405" width="10.21875" style="19" customWidth="1"/>
    <col min="6406" max="6406" width="9.88671875" style="19" customWidth="1"/>
    <col min="6407" max="6407" width="10.109375" style="19" customWidth="1"/>
    <col min="6408" max="6408" width="7.33203125" style="19" customWidth="1"/>
    <col min="6409" max="6409" width="6" style="19" customWidth="1"/>
    <col min="6410" max="6410" width="10" style="19" customWidth="1"/>
    <col min="6411" max="6411" width="8" style="19" customWidth="1"/>
    <col min="6412" max="6412" width="8.5546875" style="19" customWidth="1"/>
    <col min="6413" max="6413" width="4.5546875" style="19" customWidth="1"/>
    <col min="6414" max="6414" width="3.5546875" style="19" customWidth="1"/>
    <col min="6415" max="6415" width="8.33203125" style="19" customWidth="1"/>
    <col min="6416" max="6416" width="8.6640625" style="19" customWidth="1"/>
    <col min="6417" max="6418" width="11.109375" style="19" customWidth="1"/>
    <col min="6419" max="6655" width="8.88671875" style="19" customWidth="1"/>
    <col min="6656" max="6656" width="4.5546875" style="19"/>
    <col min="6657" max="6657" width="4.5546875" style="19" customWidth="1"/>
    <col min="6658" max="6658" width="3.44140625" style="19" customWidth="1"/>
    <col min="6659" max="6659" width="20.77734375" style="19" customWidth="1"/>
    <col min="6660" max="6661" width="10.21875" style="19" customWidth="1"/>
    <col min="6662" max="6662" width="9.88671875" style="19" customWidth="1"/>
    <col min="6663" max="6663" width="10.109375" style="19" customWidth="1"/>
    <col min="6664" max="6664" width="7.33203125" style="19" customWidth="1"/>
    <col min="6665" max="6665" width="6" style="19" customWidth="1"/>
    <col min="6666" max="6666" width="10" style="19" customWidth="1"/>
    <col min="6667" max="6667" width="8" style="19" customWidth="1"/>
    <col min="6668" max="6668" width="8.5546875" style="19" customWidth="1"/>
    <col min="6669" max="6669" width="4.5546875" style="19" customWidth="1"/>
    <col min="6670" max="6670" width="3.5546875" style="19" customWidth="1"/>
    <col min="6671" max="6671" width="8.33203125" style="19" customWidth="1"/>
    <col min="6672" max="6672" width="8.6640625" style="19" customWidth="1"/>
    <col min="6673" max="6674" width="11.109375" style="19" customWidth="1"/>
    <col min="6675" max="6911" width="8.88671875" style="19" customWidth="1"/>
    <col min="6912" max="6912" width="4.5546875" style="19"/>
    <col min="6913" max="6913" width="4.5546875" style="19" customWidth="1"/>
    <col min="6914" max="6914" width="3.44140625" style="19" customWidth="1"/>
    <col min="6915" max="6915" width="20.77734375" style="19" customWidth="1"/>
    <col min="6916" max="6917" width="10.21875" style="19" customWidth="1"/>
    <col min="6918" max="6918" width="9.88671875" style="19" customWidth="1"/>
    <col min="6919" max="6919" width="10.109375" style="19" customWidth="1"/>
    <col min="6920" max="6920" width="7.33203125" style="19" customWidth="1"/>
    <col min="6921" max="6921" width="6" style="19" customWidth="1"/>
    <col min="6922" max="6922" width="10" style="19" customWidth="1"/>
    <col min="6923" max="6923" width="8" style="19" customWidth="1"/>
    <col min="6924" max="6924" width="8.5546875" style="19" customWidth="1"/>
    <col min="6925" max="6925" width="4.5546875" style="19" customWidth="1"/>
    <col min="6926" max="6926" width="3.5546875" style="19" customWidth="1"/>
    <col min="6927" max="6927" width="8.33203125" style="19" customWidth="1"/>
    <col min="6928" max="6928" width="8.6640625" style="19" customWidth="1"/>
    <col min="6929" max="6930" width="11.109375" style="19" customWidth="1"/>
    <col min="6931" max="7167" width="8.88671875" style="19" customWidth="1"/>
    <col min="7168" max="7168" width="4.5546875" style="19"/>
    <col min="7169" max="7169" width="4.5546875" style="19" customWidth="1"/>
    <col min="7170" max="7170" width="3.44140625" style="19" customWidth="1"/>
    <col min="7171" max="7171" width="20.77734375" style="19" customWidth="1"/>
    <col min="7172" max="7173" width="10.21875" style="19" customWidth="1"/>
    <col min="7174" max="7174" width="9.88671875" style="19" customWidth="1"/>
    <col min="7175" max="7175" width="10.109375" style="19" customWidth="1"/>
    <col min="7176" max="7176" width="7.33203125" style="19" customWidth="1"/>
    <col min="7177" max="7177" width="6" style="19" customWidth="1"/>
    <col min="7178" max="7178" width="10" style="19" customWidth="1"/>
    <col min="7179" max="7179" width="8" style="19" customWidth="1"/>
    <col min="7180" max="7180" width="8.5546875" style="19" customWidth="1"/>
    <col min="7181" max="7181" width="4.5546875" style="19" customWidth="1"/>
    <col min="7182" max="7182" width="3.5546875" style="19" customWidth="1"/>
    <col min="7183" max="7183" width="8.33203125" style="19" customWidth="1"/>
    <col min="7184" max="7184" width="8.6640625" style="19" customWidth="1"/>
    <col min="7185" max="7186" width="11.109375" style="19" customWidth="1"/>
    <col min="7187" max="7423" width="8.88671875" style="19" customWidth="1"/>
    <col min="7424" max="7424" width="4.5546875" style="19"/>
    <col min="7425" max="7425" width="4.5546875" style="19" customWidth="1"/>
    <col min="7426" max="7426" width="3.44140625" style="19" customWidth="1"/>
    <col min="7427" max="7427" width="20.77734375" style="19" customWidth="1"/>
    <col min="7428" max="7429" width="10.21875" style="19" customWidth="1"/>
    <col min="7430" max="7430" width="9.88671875" style="19" customWidth="1"/>
    <col min="7431" max="7431" width="10.109375" style="19" customWidth="1"/>
    <col min="7432" max="7432" width="7.33203125" style="19" customWidth="1"/>
    <col min="7433" max="7433" width="6" style="19" customWidth="1"/>
    <col min="7434" max="7434" width="10" style="19" customWidth="1"/>
    <col min="7435" max="7435" width="8" style="19" customWidth="1"/>
    <col min="7436" max="7436" width="8.5546875" style="19" customWidth="1"/>
    <col min="7437" max="7437" width="4.5546875" style="19" customWidth="1"/>
    <col min="7438" max="7438" width="3.5546875" style="19" customWidth="1"/>
    <col min="7439" max="7439" width="8.33203125" style="19" customWidth="1"/>
    <col min="7440" max="7440" width="8.6640625" style="19" customWidth="1"/>
    <col min="7441" max="7442" width="11.109375" style="19" customWidth="1"/>
    <col min="7443" max="7679" width="8.88671875" style="19" customWidth="1"/>
    <col min="7680" max="7680" width="4.5546875" style="19"/>
    <col min="7681" max="7681" width="4.5546875" style="19" customWidth="1"/>
    <col min="7682" max="7682" width="3.44140625" style="19" customWidth="1"/>
    <col min="7683" max="7683" width="20.77734375" style="19" customWidth="1"/>
    <col min="7684" max="7685" width="10.21875" style="19" customWidth="1"/>
    <col min="7686" max="7686" width="9.88671875" style="19" customWidth="1"/>
    <col min="7687" max="7687" width="10.109375" style="19" customWidth="1"/>
    <col min="7688" max="7688" width="7.33203125" style="19" customWidth="1"/>
    <col min="7689" max="7689" width="6" style="19" customWidth="1"/>
    <col min="7690" max="7690" width="10" style="19" customWidth="1"/>
    <col min="7691" max="7691" width="8" style="19" customWidth="1"/>
    <col min="7692" max="7692" width="8.5546875" style="19" customWidth="1"/>
    <col min="7693" max="7693" width="4.5546875" style="19" customWidth="1"/>
    <col min="7694" max="7694" width="3.5546875" style="19" customWidth="1"/>
    <col min="7695" max="7695" width="8.33203125" style="19" customWidth="1"/>
    <col min="7696" max="7696" width="8.6640625" style="19" customWidth="1"/>
    <col min="7697" max="7698" width="11.109375" style="19" customWidth="1"/>
    <col min="7699" max="7935" width="8.88671875" style="19" customWidth="1"/>
    <col min="7936" max="7936" width="4.5546875" style="19"/>
    <col min="7937" max="7937" width="4.5546875" style="19" customWidth="1"/>
    <col min="7938" max="7938" width="3.44140625" style="19" customWidth="1"/>
    <col min="7939" max="7939" width="20.77734375" style="19" customWidth="1"/>
    <col min="7940" max="7941" width="10.21875" style="19" customWidth="1"/>
    <col min="7942" max="7942" width="9.88671875" style="19" customWidth="1"/>
    <col min="7943" max="7943" width="10.109375" style="19" customWidth="1"/>
    <col min="7944" max="7944" width="7.33203125" style="19" customWidth="1"/>
    <col min="7945" max="7945" width="6" style="19" customWidth="1"/>
    <col min="7946" max="7946" width="10" style="19" customWidth="1"/>
    <col min="7947" max="7947" width="8" style="19" customWidth="1"/>
    <col min="7948" max="7948" width="8.5546875" style="19" customWidth="1"/>
    <col min="7949" max="7949" width="4.5546875" style="19" customWidth="1"/>
    <col min="7950" max="7950" width="3.5546875" style="19" customWidth="1"/>
    <col min="7951" max="7951" width="8.33203125" style="19" customWidth="1"/>
    <col min="7952" max="7952" width="8.6640625" style="19" customWidth="1"/>
    <col min="7953" max="7954" width="11.109375" style="19" customWidth="1"/>
    <col min="7955" max="8191" width="8.88671875" style="19" customWidth="1"/>
    <col min="8192" max="8192" width="4.5546875" style="19"/>
    <col min="8193" max="8193" width="4.5546875" style="19" customWidth="1"/>
    <col min="8194" max="8194" width="3.44140625" style="19" customWidth="1"/>
    <col min="8195" max="8195" width="20.77734375" style="19" customWidth="1"/>
    <col min="8196" max="8197" width="10.21875" style="19" customWidth="1"/>
    <col min="8198" max="8198" width="9.88671875" style="19" customWidth="1"/>
    <col min="8199" max="8199" width="10.109375" style="19" customWidth="1"/>
    <col min="8200" max="8200" width="7.33203125" style="19" customWidth="1"/>
    <col min="8201" max="8201" width="6" style="19" customWidth="1"/>
    <col min="8202" max="8202" width="10" style="19" customWidth="1"/>
    <col min="8203" max="8203" width="8" style="19" customWidth="1"/>
    <col min="8204" max="8204" width="8.5546875" style="19" customWidth="1"/>
    <col min="8205" max="8205" width="4.5546875" style="19" customWidth="1"/>
    <col min="8206" max="8206" width="3.5546875" style="19" customWidth="1"/>
    <col min="8207" max="8207" width="8.33203125" style="19" customWidth="1"/>
    <col min="8208" max="8208" width="8.6640625" style="19" customWidth="1"/>
    <col min="8209" max="8210" width="11.109375" style="19" customWidth="1"/>
    <col min="8211" max="8447" width="8.88671875" style="19" customWidth="1"/>
    <col min="8448" max="8448" width="4.5546875" style="19"/>
    <col min="8449" max="8449" width="4.5546875" style="19" customWidth="1"/>
    <col min="8450" max="8450" width="3.44140625" style="19" customWidth="1"/>
    <col min="8451" max="8451" width="20.77734375" style="19" customWidth="1"/>
    <col min="8452" max="8453" width="10.21875" style="19" customWidth="1"/>
    <col min="8454" max="8454" width="9.88671875" style="19" customWidth="1"/>
    <col min="8455" max="8455" width="10.109375" style="19" customWidth="1"/>
    <col min="8456" max="8456" width="7.33203125" style="19" customWidth="1"/>
    <col min="8457" max="8457" width="6" style="19" customWidth="1"/>
    <col min="8458" max="8458" width="10" style="19" customWidth="1"/>
    <col min="8459" max="8459" width="8" style="19" customWidth="1"/>
    <col min="8460" max="8460" width="8.5546875" style="19" customWidth="1"/>
    <col min="8461" max="8461" width="4.5546875" style="19" customWidth="1"/>
    <col min="8462" max="8462" width="3.5546875" style="19" customWidth="1"/>
    <col min="8463" max="8463" width="8.33203125" style="19" customWidth="1"/>
    <col min="8464" max="8464" width="8.6640625" style="19" customWidth="1"/>
    <col min="8465" max="8466" width="11.109375" style="19" customWidth="1"/>
    <col min="8467" max="8703" width="8.88671875" style="19" customWidth="1"/>
    <col min="8704" max="8704" width="4.5546875" style="19"/>
    <col min="8705" max="8705" width="4.5546875" style="19" customWidth="1"/>
    <col min="8706" max="8706" width="3.44140625" style="19" customWidth="1"/>
    <col min="8707" max="8707" width="20.77734375" style="19" customWidth="1"/>
    <col min="8708" max="8709" width="10.21875" style="19" customWidth="1"/>
    <col min="8710" max="8710" width="9.88671875" style="19" customWidth="1"/>
    <col min="8711" max="8711" width="10.109375" style="19" customWidth="1"/>
    <col min="8712" max="8712" width="7.33203125" style="19" customWidth="1"/>
    <col min="8713" max="8713" width="6" style="19" customWidth="1"/>
    <col min="8714" max="8714" width="10" style="19" customWidth="1"/>
    <col min="8715" max="8715" width="8" style="19" customWidth="1"/>
    <col min="8716" max="8716" width="8.5546875" style="19" customWidth="1"/>
    <col min="8717" max="8717" width="4.5546875" style="19" customWidth="1"/>
    <col min="8718" max="8718" width="3.5546875" style="19" customWidth="1"/>
    <col min="8719" max="8719" width="8.33203125" style="19" customWidth="1"/>
    <col min="8720" max="8720" width="8.6640625" style="19" customWidth="1"/>
    <col min="8721" max="8722" width="11.109375" style="19" customWidth="1"/>
    <col min="8723" max="8959" width="8.88671875" style="19" customWidth="1"/>
    <col min="8960" max="8960" width="4.5546875" style="19"/>
    <col min="8961" max="8961" width="4.5546875" style="19" customWidth="1"/>
    <col min="8962" max="8962" width="3.44140625" style="19" customWidth="1"/>
    <col min="8963" max="8963" width="20.77734375" style="19" customWidth="1"/>
    <col min="8964" max="8965" width="10.21875" style="19" customWidth="1"/>
    <col min="8966" max="8966" width="9.88671875" style="19" customWidth="1"/>
    <col min="8967" max="8967" width="10.109375" style="19" customWidth="1"/>
    <col min="8968" max="8968" width="7.33203125" style="19" customWidth="1"/>
    <col min="8969" max="8969" width="6" style="19" customWidth="1"/>
    <col min="8970" max="8970" width="10" style="19" customWidth="1"/>
    <col min="8971" max="8971" width="8" style="19" customWidth="1"/>
    <col min="8972" max="8972" width="8.5546875" style="19" customWidth="1"/>
    <col min="8973" max="8973" width="4.5546875" style="19" customWidth="1"/>
    <col min="8974" max="8974" width="3.5546875" style="19" customWidth="1"/>
    <col min="8975" max="8975" width="8.33203125" style="19" customWidth="1"/>
    <col min="8976" max="8976" width="8.6640625" style="19" customWidth="1"/>
    <col min="8977" max="8978" width="11.109375" style="19" customWidth="1"/>
    <col min="8979" max="9215" width="8.88671875" style="19" customWidth="1"/>
    <col min="9216" max="9216" width="4.5546875" style="19"/>
    <col min="9217" max="9217" width="4.5546875" style="19" customWidth="1"/>
    <col min="9218" max="9218" width="3.44140625" style="19" customWidth="1"/>
    <col min="9219" max="9219" width="20.77734375" style="19" customWidth="1"/>
    <col min="9220" max="9221" width="10.21875" style="19" customWidth="1"/>
    <col min="9222" max="9222" width="9.88671875" style="19" customWidth="1"/>
    <col min="9223" max="9223" width="10.109375" style="19" customWidth="1"/>
    <col min="9224" max="9224" width="7.33203125" style="19" customWidth="1"/>
    <col min="9225" max="9225" width="6" style="19" customWidth="1"/>
    <col min="9226" max="9226" width="10" style="19" customWidth="1"/>
    <col min="9227" max="9227" width="8" style="19" customWidth="1"/>
    <col min="9228" max="9228" width="8.5546875" style="19" customWidth="1"/>
    <col min="9229" max="9229" width="4.5546875" style="19" customWidth="1"/>
    <col min="9230" max="9230" width="3.5546875" style="19" customWidth="1"/>
    <col min="9231" max="9231" width="8.33203125" style="19" customWidth="1"/>
    <col min="9232" max="9232" width="8.6640625" style="19" customWidth="1"/>
    <col min="9233" max="9234" width="11.109375" style="19" customWidth="1"/>
    <col min="9235" max="9471" width="8.88671875" style="19" customWidth="1"/>
    <col min="9472" max="9472" width="4.5546875" style="19"/>
    <col min="9473" max="9473" width="4.5546875" style="19" customWidth="1"/>
    <col min="9474" max="9474" width="3.44140625" style="19" customWidth="1"/>
    <col min="9475" max="9475" width="20.77734375" style="19" customWidth="1"/>
    <col min="9476" max="9477" width="10.21875" style="19" customWidth="1"/>
    <col min="9478" max="9478" width="9.88671875" style="19" customWidth="1"/>
    <col min="9479" max="9479" width="10.109375" style="19" customWidth="1"/>
    <col min="9480" max="9480" width="7.33203125" style="19" customWidth="1"/>
    <col min="9481" max="9481" width="6" style="19" customWidth="1"/>
    <col min="9482" max="9482" width="10" style="19" customWidth="1"/>
    <col min="9483" max="9483" width="8" style="19" customWidth="1"/>
    <col min="9484" max="9484" width="8.5546875" style="19" customWidth="1"/>
    <col min="9485" max="9485" width="4.5546875" style="19" customWidth="1"/>
    <col min="9486" max="9486" width="3.5546875" style="19" customWidth="1"/>
    <col min="9487" max="9487" width="8.33203125" style="19" customWidth="1"/>
    <col min="9488" max="9488" width="8.6640625" style="19" customWidth="1"/>
    <col min="9489" max="9490" width="11.109375" style="19" customWidth="1"/>
    <col min="9491" max="9727" width="8.88671875" style="19" customWidth="1"/>
    <col min="9728" max="9728" width="4.5546875" style="19"/>
    <col min="9729" max="9729" width="4.5546875" style="19" customWidth="1"/>
    <col min="9730" max="9730" width="3.44140625" style="19" customWidth="1"/>
    <col min="9731" max="9731" width="20.77734375" style="19" customWidth="1"/>
    <col min="9732" max="9733" width="10.21875" style="19" customWidth="1"/>
    <col min="9734" max="9734" width="9.88671875" style="19" customWidth="1"/>
    <col min="9735" max="9735" width="10.109375" style="19" customWidth="1"/>
    <col min="9736" max="9736" width="7.33203125" style="19" customWidth="1"/>
    <col min="9737" max="9737" width="6" style="19" customWidth="1"/>
    <col min="9738" max="9738" width="10" style="19" customWidth="1"/>
    <col min="9739" max="9739" width="8" style="19" customWidth="1"/>
    <col min="9740" max="9740" width="8.5546875" style="19" customWidth="1"/>
    <col min="9741" max="9741" width="4.5546875" style="19" customWidth="1"/>
    <col min="9742" max="9742" width="3.5546875" style="19" customWidth="1"/>
    <col min="9743" max="9743" width="8.33203125" style="19" customWidth="1"/>
    <col min="9744" max="9744" width="8.6640625" style="19" customWidth="1"/>
    <col min="9745" max="9746" width="11.109375" style="19" customWidth="1"/>
    <col min="9747" max="9983" width="8.88671875" style="19" customWidth="1"/>
    <col min="9984" max="9984" width="4.5546875" style="19"/>
    <col min="9985" max="9985" width="4.5546875" style="19" customWidth="1"/>
    <col min="9986" max="9986" width="3.44140625" style="19" customWidth="1"/>
    <col min="9987" max="9987" width="20.77734375" style="19" customWidth="1"/>
    <col min="9988" max="9989" width="10.21875" style="19" customWidth="1"/>
    <col min="9990" max="9990" width="9.88671875" style="19" customWidth="1"/>
    <col min="9991" max="9991" width="10.109375" style="19" customWidth="1"/>
    <col min="9992" max="9992" width="7.33203125" style="19" customWidth="1"/>
    <col min="9993" max="9993" width="6" style="19" customWidth="1"/>
    <col min="9994" max="9994" width="10" style="19" customWidth="1"/>
    <col min="9995" max="9995" width="8" style="19" customWidth="1"/>
    <col min="9996" max="9996" width="8.5546875" style="19" customWidth="1"/>
    <col min="9997" max="9997" width="4.5546875" style="19" customWidth="1"/>
    <col min="9998" max="9998" width="3.5546875" style="19" customWidth="1"/>
    <col min="9999" max="9999" width="8.33203125" style="19" customWidth="1"/>
    <col min="10000" max="10000" width="8.6640625" style="19" customWidth="1"/>
    <col min="10001" max="10002" width="11.109375" style="19" customWidth="1"/>
    <col min="10003" max="10239" width="8.88671875" style="19" customWidth="1"/>
    <col min="10240" max="10240" width="4.5546875" style="19"/>
    <col min="10241" max="10241" width="4.5546875" style="19" customWidth="1"/>
    <col min="10242" max="10242" width="3.44140625" style="19" customWidth="1"/>
    <col min="10243" max="10243" width="20.77734375" style="19" customWidth="1"/>
    <col min="10244" max="10245" width="10.21875" style="19" customWidth="1"/>
    <col min="10246" max="10246" width="9.88671875" style="19" customWidth="1"/>
    <col min="10247" max="10247" width="10.109375" style="19" customWidth="1"/>
    <col min="10248" max="10248" width="7.33203125" style="19" customWidth="1"/>
    <col min="10249" max="10249" width="6" style="19" customWidth="1"/>
    <col min="10250" max="10250" width="10" style="19" customWidth="1"/>
    <col min="10251" max="10251" width="8" style="19" customWidth="1"/>
    <col min="10252" max="10252" width="8.5546875" style="19" customWidth="1"/>
    <col min="10253" max="10253" width="4.5546875" style="19" customWidth="1"/>
    <col min="10254" max="10254" width="3.5546875" style="19" customWidth="1"/>
    <col min="10255" max="10255" width="8.33203125" style="19" customWidth="1"/>
    <col min="10256" max="10256" width="8.6640625" style="19" customWidth="1"/>
    <col min="10257" max="10258" width="11.109375" style="19" customWidth="1"/>
    <col min="10259" max="10495" width="8.88671875" style="19" customWidth="1"/>
    <col min="10496" max="10496" width="4.5546875" style="19"/>
    <col min="10497" max="10497" width="4.5546875" style="19" customWidth="1"/>
    <col min="10498" max="10498" width="3.44140625" style="19" customWidth="1"/>
    <col min="10499" max="10499" width="20.77734375" style="19" customWidth="1"/>
    <col min="10500" max="10501" width="10.21875" style="19" customWidth="1"/>
    <col min="10502" max="10502" width="9.88671875" style="19" customWidth="1"/>
    <col min="10503" max="10503" width="10.109375" style="19" customWidth="1"/>
    <col min="10504" max="10504" width="7.33203125" style="19" customWidth="1"/>
    <col min="10505" max="10505" width="6" style="19" customWidth="1"/>
    <col min="10506" max="10506" width="10" style="19" customWidth="1"/>
    <col min="10507" max="10507" width="8" style="19" customWidth="1"/>
    <col min="10508" max="10508" width="8.5546875" style="19" customWidth="1"/>
    <col min="10509" max="10509" width="4.5546875" style="19" customWidth="1"/>
    <col min="10510" max="10510" width="3.5546875" style="19" customWidth="1"/>
    <col min="10511" max="10511" width="8.33203125" style="19" customWidth="1"/>
    <col min="10512" max="10512" width="8.6640625" style="19" customWidth="1"/>
    <col min="10513" max="10514" width="11.109375" style="19" customWidth="1"/>
    <col min="10515" max="10751" width="8.88671875" style="19" customWidth="1"/>
    <col min="10752" max="10752" width="4.5546875" style="19"/>
    <col min="10753" max="10753" width="4.5546875" style="19" customWidth="1"/>
    <col min="10754" max="10754" width="3.44140625" style="19" customWidth="1"/>
    <col min="10755" max="10755" width="20.77734375" style="19" customWidth="1"/>
    <col min="10756" max="10757" width="10.21875" style="19" customWidth="1"/>
    <col min="10758" max="10758" width="9.88671875" style="19" customWidth="1"/>
    <col min="10759" max="10759" width="10.109375" style="19" customWidth="1"/>
    <col min="10760" max="10760" width="7.33203125" style="19" customWidth="1"/>
    <col min="10761" max="10761" width="6" style="19" customWidth="1"/>
    <col min="10762" max="10762" width="10" style="19" customWidth="1"/>
    <col min="10763" max="10763" width="8" style="19" customWidth="1"/>
    <col min="10764" max="10764" width="8.5546875" style="19" customWidth="1"/>
    <col min="10765" max="10765" width="4.5546875" style="19" customWidth="1"/>
    <col min="10766" max="10766" width="3.5546875" style="19" customWidth="1"/>
    <col min="10767" max="10767" width="8.33203125" style="19" customWidth="1"/>
    <col min="10768" max="10768" width="8.6640625" style="19" customWidth="1"/>
    <col min="10769" max="10770" width="11.109375" style="19" customWidth="1"/>
    <col min="10771" max="11007" width="8.88671875" style="19" customWidth="1"/>
    <col min="11008" max="11008" width="4.5546875" style="19"/>
    <col min="11009" max="11009" width="4.5546875" style="19" customWidth="1"/>
    <col min="11010" max="11010" width="3.44140625" style="19" customWidth="1"/>
    <col min="11011" max="11011" width="20.77734375" style="19" customWidth="1"/>
    <col min="11012" max="11013" width="10.21875" style="19" customWidth="1"/>
    <col min="11014" max="11014" width="9.88671875" style="19" customWidth="1"/>
    <col min="11015" max="11015" width="10.109375" style="19" customWidth="1"/>
    <col min="11016" max="11016" width="7.33203125" style="19" customWidth="1"/>
    <col min="11017" max="11017" width="6" style="19" customWidth="1"/>
    <col min="11018" max="11018" width="10" style="19" customWidth="1"/>
    <col min="11019" max="11019" width="8" style="19" customWidth="1"/>
    <col min="11020" max="11020" width="8.5546875" style="19" customWidth="1"/>
    <col min="11021" max="11021" width="4.5546875" style="19" customWidth="1"/>
    <col min="11022" max="11022" width="3.5546875" style="19" customWidth="1"/>
    <col min="11023" max="11023" width="8.33203125" style="19" customWidth="1"/>
    <col min="11024" max="11024" width="8.6640625" style="19" customWidth="1"/>
    <col min="11025" max="11026" width="11.109375" style="19" customWidth="1"/>
    <col min="11027" max="11263" width="8.88671875" style="19" customWidth="1"/>
    <col min="11264" max="11264" width="4.5546875" style="19"/>
    <col min="11265" max="11265" width="4.5546875" style="19" customWidth="1"/>
    <col min="11266" max="11266" width="3.44140625" style="19" customWidth="1"/>
    <col min="11267" max="11267" width="20.77734375" style="19" customWidth="1"/>
    <col min="11268" max="11269" width="10.21875" style="19" customWidth="1"/>
    <col min="11270" max="11270" width="9.88671875" style="19" customWidth="1"/>
    <col min="11271" max="11271" width="10.109375" style="19" customWidth="1"/>
    <col min="11272" max="11272" width="7.33203125" style="19" customWidth="1"/>
    <col min="11273" max="11273" width="6" style="19" customWidth="1"/>
    <col min="11274" max="11274" width="10" style="19" customWidth="1"/>
    <col min="11275" max="11275" width="8" style="19" customWidth="1"/>
    <col min="11276" max="11276" width="8.5546875" style="19" customWidth="1"/>
    <col min="11277" max="11277" width="4.5546875" style="19" customWidth="1"/>
    <col min="11278" max="11278" width="3.5546875" style="19" customWidth="1"/>
    <col min="11279" max="11279" width="8.33203125" style="19" customWidth="1"/>
    <col min="11280" max="11280" width="8.6640625" style="19" customWidth="1"/>
    <col min="11281" max="11282" width="11.109375" style="19" customWidth="1"/>
    <col min="11283" max="11519" width="8.88671875" style="19" customWidth="1"/>
    <col min="11520" max="11520" width="4.5546875" style="19"/>
    <col min="11521" max="11521" width="4.5546875" style="19" customWidth="1"/>
    <col min="11522" max="11522" width="3.44140625" style="19" customWidth="1"/>
    <col min="11523" max="11523" width="20.77734375" style="19" customWidth="1"/>
    <col min="11524" max="11525" width="10.21875" style="19" customWidth="1"/>
    <col min="11526" max="11526" width="9.88671875" style="19" customWidth="1"/>
    <col min="11527" max="11527" width="10.109375" style="19" customWidth="1"/>
    <col min="11528" max="11528" width="7.33203125" style="19" customWidth="1"/>
    <col min="11529" max="11529" width="6" style="19" customWidth="1"/>
    <col min="11530" max="11530" width="10" style="19" customWidth="1"/>
    <col min="11531" max="11531" width="8" style="19" customWidth="1"/>
    <col min="11532" max="11532" width="8.5546875" style="19" customWidth="1"/>
    <col min="11533" max="11533" width="4.5546875" style="19" customWidth="1"/>
    <col min="11534" max="11534" width="3.5546875" style="19" customWidth="1"/>
    <col min="11535" max="11535" width="8.33203125" style="19" customWidth="1"/>
    <col min="11536" max="11536" width="8.6640625" style="19" customWidth="1"/>
    <col min="11537" max="11538" width="11.109375" style="19" customWidth="1"/>
    <col min="11539" max="11775" width="8.88671875" style="19" customWidth="1"/>
    <col min="11776" max="11776" width="4.5546875" style="19"/>
    <col min="11777" max="11777" width="4.5546875" style="19" customWidth="1"/>
    <col min="11778" max="11778" width="3.44140625" style="19" customWidth="1"/>
    <col min="11779" max="11779" width="20.77734375" style="19" customWidth="1"/>
    <col min="11780" max="11781" width="10.21875" style="19" customWidth="1"/>
    <col min="11782" max="11782" width="9.88671875" style="19" customWidth="1"/>
    <col min="11783" max="11783" width="10.109375" style="19" customWidth="1"/>
    <col min="11784" max="11784" width="7.33203125" style="19" customWidth="1"/>
    <col min="11785" max="11785" width="6" style="19" customWidth="1"/>
    <col min="11786" max="11786" width="10" style="19" customWidth="1"/>
    <col min="11787" max="11787" width="8" style="19" customWidth="1"/>
    <col min="11788" max="11788" width="8.5546875" style="19" customWidth="1"/>
    <col min="11789" max="11789" width="4.5546875" style="19" customWidth="1"/>
    <col min="11790" max="11790" width="3.5546875" style="19" customWidth="1"/>
    <col min="11791" max="11791" width="8.33203125" style="19" customWidth="1"/>
    <col min="11792" max="11792" width="8.6640625" style="19" customWidth="1"/>
    <col min="11793" max="11794" width="11.109375" style="19" customWidth="1"/>
    <col min="11795" max="12031" width="8.88671875" style="19" customWidth="1"/>
    <col min="12032" max="12032" width="4.5546875" style="19"/>
    <col min="12033" max="12033" width="4.5546875" style="19" customWidth="1"/>
    <col min="12034" max="12034" width="3.44140625" style="19" customWidth="1"/>
    <col min="12035" max="12035" width="20.77734375" style="19" customWidth="1"/>
    <col min="12036" max="12037" width="10.21875" style="19" customWidth="1"/>
    <col min="12038" max="12038" width="9.88671875" style="19" customWidth="1"/>
    <col min="12039" max="12039" width="10.109375" style="19" customWidth="1"/>
    <col min="12040" max="12040" width="7.33203125" style="19" customWidth="1"/>
    <col min="12041" max="12041" width="6" style="19" customWidth="1"/>
    <col min="12042" max="12042" width="10" style="19" customWidth="1"/>
    <col min="12043" max="12043" width="8" style="19" customWidth="1"/>
    <col min="12044" max="12044" width="8.5546875" style="19" customWidth="1"/>
    <col min="12045" max="12045" width="4.5546875" style="19" customWidth="1"/>
    <col min="12046" max="12046" width="3.5546875" style="19" customWidth="1"/>
    <col min="12047" max="12047" width="8.33203125" style="19" customWidth="1"/>
    <col min="12048" max="12048" width="8.6640625" style="19" customWidth="1"/>
    <col min="12049" max="12050" width="11.109375" style="19" customWidth="1"/>
    <col min="12051" max="12287" width="8.88671875" style="19" customWidth="1"/>
    <col min="12288" max="12288" width="4.5546875" style="19"/>
    <col min="12289" max="12289" width="4.5546875" style="19" customWidth="1"/>
    <col min="12290" max="12290" width="3.44140625" style="19" customWidth="1"/>
    <col min="12291" max="12291" width="20.77734375" style="19" customWidth="1"/>
    <col min="12292" max="12293" width="10.21875" style="19" customWidth="1"/>
    <col min="12294" max="12294" width="9.88671875" style="19" customWidth="1"/>
    <col min="12295" max="12295" width="10.109375" style="19" customWidth="1"/>
    <col min="12296" max="12296" width="7.33203125" style="19" customWidth="1"/>
    <col min="12297" max="12297" width="6" style="19" customWidth="1"/>
    <col min="12298" max="12298" width="10" style="19" customWidth="1"/>
    <col min="12299" max="12299" width="8" style="19" customWidth="1"/>
    <col min="12300" max="12300" width="8.5546875" style="19" customWidth="1"/>
    <col min="12301" max="12301" width="4.5546875" style="19" customWidth="1"/>
    <col min="12302" max="12302" width="3.5546875" style="19" customWidth="1"/>
    <col min="12303" max="12303" width="8.33203125" style="19" customWidth="1"/>
    <col min="12304" max="12304" width="8.6640625" style="19" customWidth="1"/>
    <col min="12305" max="12306" width="11.109375" style="19" customWidth="1"/>
    <col min="12307" max="12543" width="8.88671875" style="19" customWidth="1"/>
    <col min="12544" max="12544" width="4.5546875" style="19"/>
    <col min="12545" max="12545" width="4.5546875" style="19" customWidth="1"/>
    <col min="12546" max="12546" width="3.44140625" style="19" customWidth="1"/>
    <col min="12547" max="12547" width="20.77734375" style="19" customWidth="1"/>
    <col min="12548" max="12549" width="10.21875" style="19" customWidth="1"/>
    <col min="12550" max="12550" width="9.88671875" style="19" customWidth="1"/>
    <col min="12551" max="12551" width="10.109375" style="19" customWidth="1"/>
    <col min="12552" max="12552" width="7.33203125" style="19" customWidth="1"/>
    <col min="12553" max="12553" width="6" style="19" customWidth="1"/>
    <col min="12554" max="12554" width="10" style="19" customWidth="1"/>
    <col min="12555" max="12555" width="8" style="19" customWidth="1"/>
    <col min="12556" max="12556" width="8.5546875" style="19" customWidth="1"/>
    <col min="12557" max="12557" width="4.5546875" style="19" customWidth="1"/>
    <col min="12558" max="12558" width="3.5546875" style="19" customWidth="1"/>
    <col min="12559" max="12559" width="8.33203125" style="19" customWidth="1"/>
    <col min="12560" max="12560" width="8.6640625" style="19" customWidth="1"/>
    <col min="12561" max="12562" width="11.109375" style="19" customWidth="1"/>
    <col min="12563" max="12799" width="8.88671875" style="19" customWidth="1"/>
    <col min="12800" max="12800" width="4.5546875" style="19"/>
    <col min="12801" max="12801" width="4.5546875" style="19" customWidth="1"/>
    <col min="12802" max="12802" width="3.44140625" style="19" customWidth="1"/>
    <col min="12803" max="12803" width="20.77734375" style="19" customWidth="1"/>
    <col min="12804" max="12805" width="10.21875" style="19" customWidth="1"/>
    <col min="12806" max="12806" width="9.88671875" style="19" customWidth="1"/>
    <col min="12807" max="12807" width="10.109375" style="19" customWidth="1"/>
    <col min="12808" max="12808" width="7.33203125" style="19" customWidth="1"/>
    <col min="12809" max="12809" width="6" style="19" customWidth="1"/>
    <col min="12810" max="12810" width="10" style="19" customWidth="1"/>
    <col min="12811" max="12811" width="8" style="19" customWidth="1"/>
    <col min="12812" max="12812" width="8.5546875" style="19" customWidth="1"/>
    <col min="12813" max="12813" width="4.5546875" style="19" customWidth="1"/>
    <col min="12814" max="12814" width="3.5546875" style="19" customWidth="1"/>
    <col min="12815" max="12815" width="8.33203125" style="19" customWidth="1"/>
    <col min="12816" max="12816" width="8.6640625" style="19" customWidth="1"/>
    <col min="12817" max="12818" width="11.109375" style="19" customWidth="1"/>
    <col min="12819" max="13055" width="8.88671875" style="19" customWidth="1"/>
    <col min="13056" max="13056" width="4.5546875" style="19"/>
    <col min="13057" max="13057" width="4.5546875" style="19" customWidth="1"/>
    <col min="13058" max="13058" width="3.44140625" style="19" customWidth="1"/>
    <col min="13059" max="13059" width="20.77734375" style="19" customWidth="1"/>
    <col min="13060" max="13061" width="10.21875" style="19" customWidth="1"/>
    <col min="13062" max="13062" width="9.88671875" style="19" customWidth="1"/>
    <col min="13063" max="13063" width="10.109375" style="19" customWidth="1"/>
    <col min="13064" max="13064" width="7.33203125" style="19" customWidth="1"/>
    <col min="13065" max="13065" width="6" style="19" customWidth="1"/>
    <col min="13066" max="13066" width="10" style="19" customWidth="1"/>
    <col min="13067" max="13067" width="8" style="19" customWidth="1"/>
    <col min="13068" max="13068" width="8.5546875" style="19" customWidth="1"/>
    <col min="13069" max="13069" width="4.5546875" style="19" customWidth="1"/>
    <col min="13070" max="13070" width="3.5546875" style="19" customWidth="1"/>
    <col min="13071" max="13071" width="8.33203125" style="19" customWidth="1"/>
    <col min="13072" max="13072" width="8.6640625" style="19" customWidth="1"/>
    <col min="13073" max="13074" width="11.109375" style="19" customWidth="1"/>
    <col min="13075" max="13311" width="8.88671875" style="19" customWidth="1"/>
    <col min="13312" max="13312" width="4.5546875" style="19"/>
    <col min="13313" max="13313" width="4.5546875" style="19" customWidth="1"/>
    <col min="13314" max="13314" width="3.44140625" style="19" customWidth="1"/>
    <col min="13315" max="13315" width="20.77734375" style="19" customWidth="1"/>
    <col min="13316" max="13317" width="10.21875" style="19" customWidth="1"/>
    <col min="13318" max="13318" width="9.88671875" style="19" customWidth="1"/>
    <col min="13319" max="13319" width="10.109375" style="19" customWidth="1"/>
    <col min="13320" max="13320" width="7.33203125" style="19" customWidth="1"/>
    <col min="13321" max="13321" width="6" style="19" customWidth="1"/>
    <col min="13322" max="13322" width="10" style="19" customWidth="1"/>
    <col min="13323" max="13323" width="8" style="19" customWidth="1"/>
    <col min="13324" max="13324" width="8.5546875" style="19" customWidth="1"/>
    <col min="13325" max="13325" width="4.5546875" style="19" customWidth="1"/>
    <col min="13326" max="13326" width="3.5546875" style="19" customWidth="1"/>
    <col min="13327" max="13327" width="8.33203125" style="19" customWidth="1"/>
    <col min="13328" max="13328" width="8.6640625" style="19" customWidth="1"/>
    <col min="13329" max="13330" width="11.109375" style="19" customWidth="1"/>
    <col min="13331" max="13567" width="8.88671875" style="19" customWidth="1"/>
    <col min="13568" max="13568" width="4.5546875" style="19"/>
    <col min="13569" max="13569" width="4.5546875" style="19" customWidth="1"/>
    <col min="13570" max="13570" width="3.44140625" style="19" customWidth="1"/>
    <col min="13571" max="13571" width="20.77734375" style="19" customWidth="1"/>
    <col min="13572" max="13573" width="10.21875" style="19" customWidth="1"/>
    <col min="13574" max="13574" width="9.88671875" style="19" customWidth="1"/>
    <col min="13575" max="13575" width="10.109375" style="19" customWidth="1"/>
    <col min="13576" max="13576" width="7.33203125" style="19" customWidth="1"/>
    <col min="13577" max="13577" width="6" style="19" customWidth="1"/>
    <col min="13578" max="13578" width="10" style="19" customWidth="1"/>
    <col min="13579" max="13579" width="8" style="19" customWidth="1"/>
    <col min="13580" max="13580" width="8.5546875" style="19" customWidth="1"/>
    <col min="13581" max="13581" width="4.5546875" style="19" customWidth="1"/>
    <col min="13582" max="13582" width="3.5546875" style="19" customWidth="1"/>
    <col min="13583" max="13583" width="8.33203125" style="19" customWidth="1"/>
    <col min="13584" max="13584" width="8.6640625" style="19" customWidth="1"/>
    <col min="13585" max="13586" width="11.109375" style="19" customWidth="1"/>
    <col min="13587" max="13823" width="8.88671875" style="19" customWidth="1"/>
    <col min="13824" max="13824" width="4.5546875" style="19"/>
    <col min="13825" max="13825" width="4.5546875" style="19" customWidth="1"/>
    <col min="13826" max="13826" width="3.44140625" style="19" customWidth="1"/>
    <col min="13827" max="13827" width="20.77734375" style="19" customWidth="1"/>
    <col min="13828" max="13829" width="10.21875" style="19" customWidth="1"/>
    <col min="13830" max="13830" width="9.88671875" style="19" customWidth="1"/>
    <col min="13831" max="13831" width="10.109375" style="19" customWidth="1"/>
    <col min="13832" max="13832" width="7.33203125" style="19" customWidth="1"/>
    <col min="13833" max="13833" width="6" style="19" customWidth="1"/>
    <col min="13834" max="13834" width="10" style="19" customWidth="1"/>
    <col min="13835" max="13835" width="8" style="19" customWidth="1"/>
    <col min="13836" max="13836" width="8.5546875" style="19" customWidth="1"/>
    <col min="13837" max="13837" width="4.5546875" style="19" customWidth="1"/>
    <col min="13838" max="13838" width="3.5546875" style="19" customWidth="1"/>
    <col min="13839" max="13839" width="8.33203125" style="19" customWidth="1"/>
    <col min="13840" max="13840" width="8.6640625" style="19" customWidth="1"/>
    <col min="13841" max="13842" width="11.109375" style="19" customWidth="1"/>
    <col min="13843" max="14079" width="8.88671875" style="19" customWidth="1"/>
    <col min="14080" max="14080" width="4.5546875" style="19"/>
    <col min="14081" max="14081" width="4.5546875" style="19" customWidth="1"/>
    <col min="14082" max="14082" width="3.44140625" style="19" customWidth="1"/>
    <col min="14083" max="14083" width="20.77734375" style="19" customWidth="1"/>
    <col min="14084" max="14085" width="10.21875" style="19" customWidth="1"/>
    <col min="14086" max="14086" width="9.88671875" style="19" customWidth="1"/>
    <col min="14087" max="14087" width="10.109375" style="19" customWidth="1"/>
    <col min="14088" max="14088" width="7.33203125" style="19" customWidth="1"/>
    <col min="14089" max="14089" width="6" style="19" customWidth="1"/>
    <col min="14090" max="14090" width="10" style="19" customWidth="1"/>
    <col min="14091" max="14091" width="8" style="19" customWidth="1"/>
    <col min="14092" max="14092" width="8.5546875" style="19" customWidth="1"/>
    <col min="14093" max="14093" width="4.5546875" style="19" customWidth="1"/>
    <col min="14094" max="14094" width="3.5546875" style="19" customWidth="1"/>
    <col min="14095" max="14095" width="8.33203125" style="19" customWidth="1"/>
    <col min="14096" max="14096" width="8.6640625" style="19" customWidth="1"/>
    <col min="14097" max="14098" width="11.109375" style="19" customWidth="1"/>
    <col min="14099" max="14335" width="8.88671875" style="19" customWidth="1"/>
    <col min="14336" max="14336" width="4.5546875" style="19"/>
    <col min="14337" max="14337" width="4.5546875" style="19" customWidth="1"/>
    <col min="14338" max="14338" width="3.44140625" style="19" customWidth="1"/>
    <col min="14339" max="14339" width="20.77734375" style="19" customWidth="1"/>
    <col min="14340" max="14341" width="10.21875" style="19" customWidth="1"/>
    <col min="14342" max="14342" width="9.88671875" style="19" customWidth="1"/>
    <col min="14343" max="14343" width="10.109375" style="19" customWidth="1"/>
    <col min="14344" max="14344" width="7.33203125" style="19" customWidth="1"/>
    <col min="14345" max="14345" width="6" style="19" customWidth="1"/>
    <col min="14346" max="14346" width="10" style="19" customWidth="1"/>
    <col min="14347" max="14347" width="8" style="19" customWidth="1"/>
    <col min="14348" max="14348" width="8.5546875" style="19" customWidth="1"/>
    <col min="14349" max="14349" width="4.5546875" style="19" customWidth="1"/>
    <col min="14350" max="14350" width="3.5546875" style="19" customWidth="1"/>
    <col min="14351" max="14351" width="8.33203125" style="19" customWidth="1"/>
    <col min="14352" max="14352" width="8.6640625" style="19" customWidth="1"/>
    <col min="14353" max="14354" width="11.109375" style="19" customWidth="1"/>
    <col min="14355" max="14591" width="8.88671875" style="19" customWidth="1"/>
    <col min="14592" max="14592" width="4.5546875" style="19"/>
    <col min="14593" max="14593" width="4.5546875" style="19" customWidth="1"/>
    <col min="14594" max="14594" width="3.44140625" style="19" customWidth="1"/>
    <col min="14595" max="14595" width="20.77734375" style="19" customWidth="1"/>
    <col min="14596" max="14597" width="10.21875" style="19" customWidth="1"/>
    <col min="14598" max="14598" width="9.88671875" style="19" customWidth="1"/>
    <col min="14599" max="14599" width="10.109375" style="19" customWidth="1"/>
    <col min="14600" max="14600" width="7.33203125" style="19" customWidth="1"/>
    <col min="14601" max="14601" width="6" style="19" customWidth="1"/>
    <col min="14602" max="14602" width="10" style="19" customWidth="1"/>
    <col min="14603" max="14603" width="8" style="19" customWidth="1"/>
    <col min="14604" max="14604" width="8.5546875" style="19" customWidth="1"/>
    <col min="14605" max="14605" width="4.5546875" style="19" customWidth="1"/>
    <col min="14606" max="14606" width="3.5546875" style="19" customWidth="1"/>
    <col min="14607" max="14607" width="8.33203125" style="19" customWidth="1"/>
    <col min="14608" max="14608" width="8.6640625" style="19" customWidth="1"/>
    <col min="14609" max="14610" width="11.109375" style="19" customWidth="1"/>
    <col min="14611" max="14847" width="8.88671875" style="19" customWidth="1"/>
    <col min="14848" max="14848" width="4.5546875" style="19"/>
    <col min="14849" max="14849" width="4.5546875" style="19" customWidth="1"/>
    <col min="14850" max="14850" width="3.44140625" style="19" customWidth="1"/>
    <col min="14851" max="14851" width="20.77734375" style="19" customWidth="1"/>
    <col min="14852" max="14853" width="10.21875" style="19" customWidth="1"/>
    <col min="14854" max="14854" width="9.88671875" style="19" customWidth="1"/>
    <col min="14855" max="14855" width="10.109375" style="19" customWidth="1"/>
    <col min="14856" max="14856" width="7.33203125" style="19" customWidth="1"/>
    <col min="14857" max="14857" width="6" style="19" customWidth="1"/>
    <col min="14858" max="14858" width="10" style="19" customWidth="1"/>
    <col min="14859" max="14859" width="8" style="19" customWidth="1"/>
    <col min="14860" max="14860" width="8.5546875" style="19" customWidth="1"/>
    <col min="14861" max="14861" width="4.5546875" style="19" customWidth="1"/>
    <col min="14862" max="14862" width="3.5546875" style="19" customWidth="1"/>
    <col min="14863" max="14863" width="8.33203125" style="19" customWidth="1"/>
    <col min="14864" max="14864" width="8.6640625" style="19" customWidth="1"/>
    <col min="14865" max="14866" width="11.109375" style="19" customWidth="1"/>
    <col min="14867" max="15103" width="8.88671875" style="19" customWidth="1"/>
    <col min="15104" max="15104" width="4.5546875" style="19"/>
    <col min="15105" max="15105" width="4.5546875" style="19" customWidth="1"/>
    <col min="15106" max="15106" width="3.44140625" style="19" customWidth="1"/>
    <col min="15107" max="15107" width="20.77734375" style="19" customWidth="1"/>
    <col min="15108" max="15109" width="10.21875" style="19" customWidth="1"/>
    <col min="15110" max="15110" width="9.88671875" style="19" customWidth="1"/>
    <col min="15111" max="15111" width="10.109375" style="19" customWidth="1"/>
    <col min="15112" max="15112" width="7.33203125" style="19" customWidth="1"/>
    <col min="15113" max="15113" width="6" style="19" customWidth="1"/>
    <col min="15114" max="15114" width="10" style="19" customWidth="1"/>
    <col min="15115" max="15115" width="8" style="19" customWidth="1"/>
    <col min="15116" max="15116" width="8.5546875" style="19" customWidth="1"/>
    <col min="15117" max="15117" width="4.5546875" style="19" customWidth="1"/>
    <col min="15118" max="15118" width="3.5546875" style="19" customWidth="1"/>
    <col min="15119" max="15119" width="8.33203125" style="19" customWidth="1"/>
    <col min="15120" max="15120" width="8.6640625" style="19" customWidth="1"/>
    <col min="15121" max="15122" width="11.109375" style="19" customWidth="1"/>
    <col min="15123" max="15359" width="8.88671875" style="19" customWidth="1"/>
    <col min="15360" max="15360" width="4.5546875" style="19"/>
    <col min="15361" max="15361" width="4.5546875" style="19" customWidth="1"/>
    <col min="15362" max="15362" width="3.44140625" style="19" customWidth="1"/>
    <col min="15363" max="15363" width="20.77734375" style="19" customWidth="1"/>
    <col min="15364" max="15365" width="10.21875" style="19" customWidth="1"/>
    <col min="15366" max="15366" width="9.88671875" style="19" customWidth="1"/>
    <col min="15367" max="15367" width="10.109375" style="19" customWidth="1"/>
    <col min="15368" max="15368" width="7.33203125" style="19" customWidth="1"/>
    <col min="15369" max="15369" width="6" style="19" customWidth="1"/>
    <col min="15370" max="15370" width="10" style="19" customWidth="1"/>
    <col min="15371" max="15371" width="8" style="19" customWidth="1"/>
    <col min="15372" max="15372" width="8.5546875" style="19" customWidth="1"/>
    <col min="15373" max="15373" width="4.5546875" style="19" customWidth="1"/>
    <col min="15374" max="15374" width="3.5546875" style="19" customWidth="1"/>
    <col min="15375" max="15375" width="8.33203125" style="19" customWidth="1"/>
    <col min="15376" max="15376" width="8.6640625" style="19" customWidth="1"/>
    <col min="15377" max="15378" width="11.109375" style="19" customWidth="1"/>
    <col min="15379" max="15615" width="8.88671875" style="19" customWidth="1"/>
    <col min="15616" max="15616" width="4.5546875" style="19"/>
    <col min="15617" max="15617" width="4.5546875" style="19" customWidth="1"/>
    <col min="15618" max="15618" width="3.44140625" style="19" customWidth="1"/>
    <col min="15619" max="15619" width="20.77734375" style="19" customWidth="1"/>
    <col min="15620" max="15621" width="10.21875" style="19" customWidth="1"/>
    <col min="15622" max="15622" width="9.88671875" style="19" customWidth="1"/>
    <col min="15623" max="15623" width="10.109375" style="19" customWidth="1"/>
    <col min="15624" max="15624" width="7.33203125" style="19" customWidth="1"/>
    <col min="15625" max="15625" width="6" style="19" customWidth="1"/>
    <col min="15626" max="15626" width="10" style="19" customWidth="1"/>
    <col min="15627" max="15627" width="8" style="19" customWidth="1"/>
    <col min="15628" max="15628" width="8.5546875" style="19" customWidth="1"/>
    <col min="15629" max="15629" width="4.5546875" style="19" customWidth="1"/>
    <col min="15630" max="15630" width="3.5546875" style="19" customWidth="1"/>
    <col min="15631" max="15631" width="8.33203125" style="19" customWidth="1"/>
    <col min="15632" max="15632" width="8.6640625" style="19" customWidth="1"/>
    <col min="15633" max="15634" width="11.109375" style="19" customWidth="1"/>
    <col min="15635" max="15871" width="8.88671875" style="19" customWidth="1"/>
    <col min="15872" max="15872" width="4.5546875" style="19"/>
    <col min="15873" max="15873" width="4.5546875" style="19" customWidth="1"/>
    <col min="15874" max="15874" width="3.44140625" style="19" customWidth="1"/>
    <col min="15875" max="15875" width="20.77734375" style="19" customWidth="1"/>
    <col min="15876" max="15877" width="10.21875" style="19" customWidth="1"/>
    <col min="15878" max="15878" width="9.88671875" style="19" customWidth="1"/>
    <col min="15879" max="15879" width="10.109375" style="19" customWidth="1"/>
    <col min="15880" max="15880" width="7.33203125" style="19" customWidth="1"/>
    <col min="15881" max="15881" width="6" style="19" customWidth="1"/>
    <col min="15882" max="15882" width="10" style="19" customWidth="1"/>
    <col min="15883" max="15883" width="8" style="19" customWidth="1"/>
    <col min="15884" max="15884" width="8.5546875" style="19" customWidth="1"/>
    <col min="15885" max="15885" width="4.5546875" style="19" customWidth="1"/>
    <col min="15886" max="15886" width="3.5546875" style="19" customWidth="1"/>
    <col min="15887" max="15887" width="8.33203125" style="19" customWidth="1"/>
    <col min="15888" max="15888" width="8.6640625" style="19" customWidth="1"/>
    <col min="15889" max="15890" width="11.109375" style="19" customWidth="1"/>
    <col min="15891" max="16127" width="8.88671875" style="19" customWidth="1"/>
    <col min="16128" max="16128" width="4.5546875" style="19"/>
    <col min="16129" max="16129" width="4.5546875" style="19" customWidth="1"/>
    <col min="16130" max="16130" width="3.44140625" style="19" customWidth="1"/>
    <col min="16131" max="16131" width="20.77734375" style="19" customWidth="1"/>
    <col min="16132" max="16133" width="10.21875" style="19" customWidth="1"/>
    <col min="16134" max="16134" width="9.88671875" style="19" customWidth="1"/>
    <col min="16135" max="16135" width="10.109375" style="19" customWidth="1"/>
    <col min="16136" max="16136" width="7.33203125" style="19" customWidth="1"/>
    <col min="16137" max="16137" width="6" style="19" customWidth="1"/>
    <col min="16138" max="16138" width="10" style="19" customWidth="1"/>
    <col min="16139" max="16139" width="8" style="19" customWidth="1"/>
    <col min="16140" max="16140" width="8.5546875" style="19" customWidth="1"/>
    <col min="16141" max="16141" width="4.5546875" style="19" customWidth="1"/>
    <col min="16142" max="16142" width="3.5546875" style="19" customWidth="1"/>
    <col min="16143" max="16143" width="8.33203125" style="19" customWidth="1"/>
    <col min="16144" max="16144" width="8.6640625" style="19" customWidth="1"/>
    <col min="16145" max="16146" width="11.109375" style="19" customWidth="1"/>
    <col min="16147" max="16383" width="8.88671875" style="19" customWidth="1"/>
    <col min="16384" max="16384" width="4.5546875" style="19"/>
  </cols>
  <sheetData>
    <row r="1" spans="2:18" x14ac:dyDescent="0.3">
      <c r="H1" s="147"/>
      <c r="I1" s="147"/>
      <c r="J1" s="147"/>
      <c r="K1" s="147"/>
      <c r="L1" s="147"/>
      <c r="M1" s="147"/>
    </row>
    <row r="2" spans="2:18" x14ac:dyDescent="0.3">
      <c r="H2" s="147"/>
      <c r="I2" s="147"/>
      <c r="J2" s="147"/>
      <c r="K2" s="147"/>
      <c r="L2" s="147"/>
      <c r="M2" s="147"/>
    </row>
    <row r="3" spans="2:18" x14ac:dyDescent="0.3">
      <c r="H3" s="147"/>
      <c r="I3" s="147"/>
      <c r="J3" s="147"/>
      <c r="K3" s="147"/>
      <c r="L3" s="147"/>
      <c r="M3" s="147"/>
    </row>
    <row r="4" spans="2:18" x14ac:dyDescent="0.3">
      <c r="B4" s="1"/>
      <c r="C4" s="148" t="s">
        <v>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2:18" ht="12" customHeight="1" x14ac:dyDescent="0.3">
      <c r="B5" s="1"/>
      <c r="C5" s="155" t="s">
        <v>669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2:18" ht="60" x14ac:dyDescent="0.3">
      <c r="B6" s="2"/>
      <c r="C6" s="3" t="s">
        <v>1</v>
      </c>
      <c r="D6" s="171" t="s">
        <v>670</v>
      </c>
      <c r="E6" s="172" t="s">
        <v>2</v>
      </c>
      <c r="F6" s="172" t="s">
        <v>3</v>
      </c>
      <c r="G6" s="173" t="s">
        <v>4</v>
      </c>
      <c r="H6" s="174" t="s">
        <v>5</v>
      </c>
      <c r="I6" s="172" t="s">
        <v>6</v>
      </c>
      <c r="J6" s="173" t="s">
        <v>7</v>
      </c>
      <c r="K6" s="174" t="s">
        <v>8</v>
      </c>
      <c r="L6" s="174" t="s">
        <v>9</v>
      </c>
      <c r="M6" s="5" t="s">
        <v>671</v>
      </c>
      <c r="N6" s="5" t="s">
        <v>10</v>
      </c>
      <c r="O6" s="6" t="s">
        <v>11</v>
      </c>
      <c r="P6" s="6" t="s">
        <v>12</v>
      </c>
      <c r="Q6" s="6" t="s">
        <v>13</v>
      </c>
      <c r="R6" s="7" t="s">
        <v>14</v>
      </c>
    </row>
    <row r="7" spans="2:18" ht="24" x14ac:dyDescent="0.3">
      <c r="B7" s="8" t="s">
        <v>15</v>
      </c>
      <c r="C7" s="9" t="s">
        <v>16</v>
      </c>
      <c r="D7" s="173"/>
      <c r="E7" s="174"/>
      <c r="F7" s="174"/>
      <c r="G7" s="174"/>
      <c r="H7" s="174"/>
      <c r="I7" s="174"/>
      <c r="J7" s="174"/>
      <c r="K7" s="174"/>
      <c r="L7" s="174"/>
      <c r="M7" s="10"/>
      <c r="N7" s="10"/>
      <c r="O7" s="8"/>
      <c r="P7" s="11"/>
      <c r="Q7" s="12"/>
      <c r="R7" s="13"/>
    </row>
    <row r="8" spans="2:18" ht="96" x14ac:dyDescent="0.3">
      <c r="B8" s="8" t="s">
        <v>17</v>
      </c>
      <c r="C8" s="14" t="s">
        <v>18</v>
      </c>
      <c r="D8" s="174">
        <f>E8+F8</f>
        <v>234.49600000000001</v>
      </c>
      <c r="E8" s="174">
        <v>234.49600000000001</v>
      </c>
      <c r="F8" s="174"/>
      <c r="G8" s="174">
        <f t="shared" ref="G8:G133" si="0">H8+I8</f>
        <v>234.49600000000001</v>
      </c>
      <c r="H8" s="174">
        <v>234.49600000000001</v>
      </c>
      <c r="I8" s="174"/>
      <c r="J8" s="174">
        <f t="shared" ref="J8:J133" si="1">K8+L8</f>
        <v>234.44799999999998</v>
      </c>
      <c r="K8" s="174">
        <f>78.048+84.996+71.404</f>
        <v>234.44799999999998</v>
      </c>
      <c r="L8" s="174"/>
      <c r="M8" s="10">
        <f>J8/D8%</f>
        <v>99.979530567685586</v>
      </c>
      <c r="N8" s="10"/>
      <c r="O8" s="8" t="s">
        <v>19</v>
      </c>
      <c r="P8" s="11" t="s">
        <v>20</v>
      </c>
      <c r="Q8" s="15" t="s">
        <v>21</v>
      </c>
      <c r="R8" s="13"/>
    </row>
    <row r="9" spans="2:18" ht="60" x14ac:dyDescent="0.3">
      <c r="B9" s="8" t="s">
        <v>17</v>
      </c>
      <c r="C9" s="14" t="s">
        <v>22</v>
      </c>
      <c r="D9" s="174">
        <f>E9+F9</f>
        <v>9.8122500000000006</v>
      </c>
      <c r="E9" s="174">
        <v>9.8122500000000006</v>
      </c>
      <c r="F9" s="174"/>
      <c r="G9" s="174">
        <f t="shared" si="0"/>
        <v>9.8122500000000006</v>
      </c>
      <c r="H9" s="174">
        <v>9.8122500000000006</v>
      </c>
      <c r="I9" s="174"/>
      <c r="J9" s="174">
        <f t="shared" si="1"/>
        <v>7.8418000000000001</v>
      </c>
      <c r="K9" s="174">
        <v>7.8418000000000001</v>
      </c>
      <c r="L9" s="174"/>
      <c r="M9" s="10">
        <f t="shared" ref="M9:M44" si="2">J9/D9%</f>
        <v>79.918469260363324</v>
      </c>
      <c r="N9" s="10"/>
      <c r="O9" s="8"/>
      <c r="P9" s="15" t="s">
        <v>23</v>
      </c>
      <c r="Q9" s="15" t="s">
        <v>24</v>
      </c>
      <c r="R9" s="13"/>
    </row>
    <row r="10" spans="2:18" ht="72" x14ac:dyDescent="0.3">
      <c r="B10" s="8"/>
      <c r="C10" s="14" t="s">
        <v>25</v>
      </c>
      <c r="D10" s="174">
        <f>E10+F10</f>
        <v>69.765439999999998</v>
      </c>
      <c r="E10" s="174">
        <v>69.765439999999998</v>
      </c>
      <c r="F10" s="174"/>
      <c r="G10" s="174">
        <f t="shared" si="0"/>
        <v>432.14</v>
      </c>
      <c r="H10" s="174">
        <v>432.14</v>
      </c>
      <c r="I10" s="174"/>
      <c r="J10" s="174">
        <f t="shared" si="1"/>
        <v>69.765439999999998</v>
      </c>
      <c r="K10" s="174">
        <v>69.765439999999998</v>
      </c>
      <c r="L10" s="174"/>
      <c r="M10" s="10">
        <f t="shared" si="2"/>
        <v>100</v>
      </c>
      <c r="N10" s="10">
        <v>20</v>
      </c>
      <c r="O10" s="8" t="s">
        <v>26</v>
      </c>
      <c r="P10" s="11" t="s">
        <v>27</v>
      </c>
      <c r="Q10" s="15" t="s">
        <v>28</v>
      </c>
      <c r="R10" s="13" t="s">
        <v>29</v>
      </c>
    </row>
    <row r="11" spans="2:18" ht="96" x14ac:dyDescent="0.3">
      <c r="B11" s="2"/>
      <c r="C11" s="16" t="s">
        <v>30</v>
      </c>
      <c r="D11" s="172">
        <f>E11+F11</f>
        <v>706.3</v>
      </c>
      <c r="E11" s="172">
        <v>706.3</v>
      </c>
      <c r="F11" s="172"/>
      <c r="G11" s="174">
        <f t="shared" si="0"/>
        <v>706.3</v>
      </c>
      <c r="H11" s="172">
        <v>706.3</v>
      </c>
      <c r="I11" s="172"/>
      <c r="J11" s="174">
        <f t="shared" si="1"/>
        <v>706.3</v>
      </c>
      <c r="K11" s="174">
        <f>447.321+258.979</f>
        <v>706.3</v>
      </c>
      <c r="L11" s="172"/>
      <c r="M11" s="10">
        <f t="shared" si="2"/>
        <v>100</v>
      </c>
      <c r="N11" s="10"/>
      <c r="O11" s="8" t="s">
        <v>31</v>
      </c>
      <c r="P11" s="17" t="s">
        <v>32</v>
      </c>
      <c r="Q11" s="15" t="s">
        <v>33</v>
      </c>
      <c r="R11" s="13"/>
    </row>
    <row r="12" spans="2:18" ht="132" x14ac:dyDescent="0.3">
      <c r="B12" s="8"/>
      <c r="C12" s="59" t="s">
        <v>34</v>
      </c>
      <c r="D12" s="172">
        <f t="shared" ref="D12:D42" si="3">E12+F12</f>
        <v>500</v>
      </c>
      <c r="E12" s="174">
        <v>500</v>
      </c>
      <c r="F12" s="174"/>
      <c r="G12" s="174">
        <f t="shared" si="0"/>
        <v>500</v>
      </c>
      <c r="H12" s="174">
        <v>500</v>
      </c>
      <c r="I12" s="174"/>
      <c r="J12" s="174">
        <f t="shared" si="1"/>
        <v>500</v>
      </c>
      <c r="K12" s="174">
        <f>105.534+102.3+23.166+100.26+168.74</f>
        <v>500</v>
      </c>
      <c r="L12" s="174"/>
      <c r="M12" s="10">
        <f t="shared" si="2"/>
        <v>100</v>
      </c>
      <c r="N12" s="10"/>
      <c r="O12" s="8" t="s">
        <v>35</v>
      </c>
      <c r="P12" s="18" t="s">
        <v>36</v>
      </c>
      <c r="Q12" s="59" t="s">
        <v>37</v>
      </c>
      <c r="R12" s="13"/>
    </row>
    <row r="13" spans="2:18" ht="108" x14ac:dyDescent="0.3">
      <c r="B13" s="8"/>
      <c r="C13" s="44" t="s">
        <v>617</v>
      </c>
      <c r="D13" s="172">
        <f t="shared" si="3"/>
        <v>25.81</v>
      </c>
      <c r="E13" s="174">
        <v>25.81</v>
      </c>
      <c r="F13" s="174"/>
      <c r="G13" s="174">
        <f t="shared" si="0"/>
        <v>45.81</v>
      </c>
      <c r="H13" s="174">
        <v>45.81</v>
      </c>
      <c r="I13" s="174"/>
      <c r="J13" s="174">
        <f t="shared" si="1"/>
        <v>0</v>
      </c>
      <c r="K13" s="174"/>
      <c r="L13" s="174"/>
      <c r="M13" s="10">
        <f t="shared" si="2"/>
        <v>0</v>
      </c>
      <c r="N13" s="10"/>
      <c r="O13" s="8" t="s">
        <v>38</v>
      </c>
      <c r="P13" s="18" t="s">
        <v>39</v>
      </c>
      <c r="Q13" s="33" t="s">
        <v>40</v>
      </c>
      <c r="R13" s="13"/>
    </row>
    <row r="14" spans="2:18" ht="60.6" customHeight="1" x14ac:dyDescent="0.3">
      <c r="B14" s="8"/>
      <c r="C14" s="108" t="s">
        <v>514</v>
      </c>
      <c r="D14" s="172">
        <f t="shared" si="3"/>
        <v>200</v>
      </c>
      <c r="E14" s="174">
        <v>200</v>
      </c>
      <c r="F14" s="174"/>
      <c r="G14" s="174">
        <f t="shared" si="0"/>
        <v>400</v>
      </c>
      <c r="H14" s="174">
        <v>400</v>
      </c>
      <c r="I14" s="174"/>
      <c r="J14" s="174">
        <f t="shared" si="1"/>
        <v>0</v>
      </c>
      <c r="K14" s="174"/>
      <c r="L14" s="174"/>
      <c r="M14" s="10">
        <f t="shared" si="2"/>
        <v>0</v>
      </c>
      <c r="N14" s="10">
        <v>20</v>
      </c>
      <c r="O14" s="8" t="s">
        <v>662</v>
      </c>
      <c r="P14" s="18" t="s">
        <v>513</v>
      </c>
      <c r="Q14" s="109" t="s">
        <v>28</v>
      </c>
      <c r="R14" s="13"/>
    </row>
    <row r="15" spans="2:18" x14ac:dyDescent="0.3">
      <c r="B15" s="8"/>
      <c r="C15" s="59"/>
      <c r="D15" s="172">
        <f t="shared" si="3"/>
        <v>95.181749999999994</v>
      </c>
      <c r="E15" s="174">
        <v>95.181749999999994</v>
      </c>
      <c r="F15" s="174"/>
      <c r="G15" s="174">
        <f t="shared" si="0"/>
        <v>0</v>
      </c>
      <c r="H15" s="174"/>
      <c r="I15" s="174"/>
      <c r="J15" s="174">
        <f t="shared" si="1"/>
        <v>0</v>
      </c>
      <c r="K15" s="174"/>
      <c r="L15" s="174"/>
      <c r="M15" s="10">
        <f t="shared" si="2"/>
        <v>0</v>
      </c>
      <c r="N15" s="10"/>
      <c r="O15" s="8"/>
      <c r="P15" s="18"/>
      <c r="Q15" s="59"/>
      <c r="R15" s="13"/>
    </row>
    <row r="16" spans="2:18" x14ac:dyDescent="0.3">
      <c r="B16" s="8"/>
      <c r="C16" s="20" t="s">
        <v>41</v>
      </c>
      <c r="D16" s="173">
        <f t="shared" si="3"/>
        <v>1841.3654399999998</v>
      </c>
      <c r="E16" s="174">
        <f>SUM(E8:E15)</f>
        <v>1841.3654399999998</v>
      </c>
      <c r="F16" s="174">
        <f>SUM(F8:F15)</f>
        <v>0</v>
      </c>
      <c r="G16" s="173">
        <f t="shared" si="0"/>
        <v>2328.55825</v>
      </c>
      <c r="H16" s="174">
        <f>SUM(H8:H15)</f>
        <v>2328.55825</v>
      </c>
      <c r="I16" s="174">
        <f>SUM(I8:I15)</f>
        <v>0</v>
      </c>
      <c r="J16" s="173">
        <f t="shared" si="1"/>
        <v>1518.3552399999999</v>
      </c>
      <c r="K16" s="174">
        <f>SUM(K8:K15)</f>
        <v>1518.3552399999999</v>
      </c>
      <c r="L16" s="174">
        <f>SUM(L8:L15)</f>
        <v>0</v>
      </c>
      <c r="M16" s="10">
        <f t="shared" si="2"/>
        <v>82.458115429819301</v>
      </c>
      <c r="N16" s="10"/>
      <c r="O16" s="8"/>
      <c r="P16" s="11"/>
      <c r="Q16" s="12"/>
      <c r="R16" s="13"/>
    </row>
    <row r="17" spans="2:20" ht="24" x14ac:dyDescent="0.3">
      <c r="B17" s="21" t="s">
        <v>42</v>
      </c>
      <c r="C17" s="22" t="s">
        <v>43</v>
      </c>
      <c r="D17" s="173"/>
      <c r="E17" s="172"/>
      <c r="F17" s="172"/>
      <c r="G17" s="173"/>
      <c r="H17" s="174"/>
      <c r="I17" s="175"/>
      <c r="J17" s="173"/>
      <c r="K17" s="174"/>
      <c r="L17" s="174"/>
      <c r="M17" s="10"/>
      <c r="N17" s="10"/>
      <c r="O17" s="23"/>
      <c r="P17" s="17"/>
      <c r="Q17" s="23"/>
      <c r="R17" s="13"/>
    </row>
    <row r="18" spans="2:20" ht="60" x14ac:dyDescent="0.3">
      <c r="B18" s="8"/>
      <c r="C18" s="14" t="s">
        <v>44</v>
      </c>
      <c r="D18" s="174">
        <f t="shared" si="3"/>
        <v>524.76330000000007</v>
      </c>
      <c r="E18" s="174">
        <f>299.52265-4.54585</f>
        <v>294.97680000000003</v>
      </c>
      <c r="F18" s="174">
        <v>229.78649999999999</v>
      </c>
      <c r="G18" s="174">
        <f t="shared" si="0"/>
        <v>668.49072000000001</v>
      </c>
      <c r="H18" s="174">
        <f>299.52265+60.4215</f>
        <v>359.94414999999998</v>
      </c>
      <c r="I18" s="176">
        <f>78.76007+229.7865</f>
        <v>308.54656999999997</v>
      </c>
      <c r="J18" s="174">
        <f t="shared" si="1"/>
        <v>466.19142999999997</v>
      </c>
      <c r="K18" s="174">
        <f>136.12662+59.36562+40.91269</f>
        <v>236.40493000000001</v>
      </c>
      <c r="L18" s="174">
        <v>229.78649999999999</v>
      </c>
      <c r="M18" s="149">
        <f>(J18+J19)/D18%</f>
        <v>89.704687808770146</v>
      </c>
      <c r="N18" s="125">
        <v>100</v>
      </c>
      <c r="O18" s="151" t="s">
        <v>45</v>
      </c>
      <c r="P18" s="127" t="s">
        <v>46</v>
      </c>
      <c r="Q18" s="133" t="s">
        <v>47</v>
      </c>
      <c r="R18" s="153" t="s">
        <v>48</v>
      </c>
      <c r="T18" s="93"/>
    </row>
    <row r="19" spans="2:20" ht="84" x14ac:dyDescent="0.3">
      <c r="B19" s="8"/>
      <c r="C19" s="14" t="s">
        <v>49</v>
      </c>
      <c r="D19" s="174">
        <f t="shared" si="3"/>
        <v>4.5458499999999997</v>
      </c>
      <c r="E19" s="174">
        <v>4.5458499999999997</v>
      </c>
      <c r="F19" s="174"/>
      <c r="G19" s="174">
        <f t="shared" si="0"/>
        <v>0</v>
      </c>
      <c r="H19" s="174"/>
      <c r="I19" s="176"/>
      <c r="J19" s="174">
        <f t="shared" si="1"/>
        <v>4.5458500000000015</v>
      </c>
      <c r="K19" s="174">
        <f>-40.91269+45.45854</f>
        <v>4.5458500000000015</v>
      </c>
      <c r="L19" s="174"/>
      <c r="M19" s="150"/>
      <c r="N19" s="126"/>
      <c r="O19" s="152"/>
      <c r="P19" s="128"/>
      <c r="Q19" s="134"/>
      <c r="R19" s="154"/>
    </row>
    <row r="20" spans="2:20" ht="62.4" customHeight="1" x14ac:dyDescent="0.3">
      <c r="B20" s="8"/>
      <c r="C20" s="14" t="s">
        <v>50</v>
      </c>
      <c r="D20" s="174">
        <f t="shared" si="3"/>
        <v>1012.49728</v>
      </c>
      <c r="E20" s="176">
        <f>-0.00076+50.92948</f>
        <v>50.928719999999998</v>
      </c>
      <c r="F20" s="174">
        <f>968.365-F21</f>
        <v>961.56856000000005</v>
      </c>
      <c r="G20" s="174">
        <f t="shared" si="0"/>
        <v>1019.3</v>
      </c>
      <c r="H20" s="176">
        <v>50.935000000000002</v>
      </c>
      <c r="I20" s="174">
        <v>968.36500000000001</v>
      </c>
      <c r="J20" s="174">
        <f t="shared" si="1"/>
        <v>680.14518999999996</v>
      </c>
      <c r="K20" s="174"/>
      <c r="L20" s="174">
        <f>80+123.86+119.33326+356.95193</f>
        <v>680.14518999999996</v>
      </c>
      <c r="M20" s="10">
        <f t="shared" si="2"/>
        <v>67.175014040531536</v>
      </c>
      <c r="N20" s="10">
        <v>100</v>
      </c>
      <c r="O20" s="129" t="s">
        <v>51</v>
      </c>
      <c r="P20" s="127" t="s">
        <v>52</v>
      </c>
      <c r="Q20" s="133" t="s">
        <v>28</v>
      </c>
      <c r="R20" s="13"/>
      <c r="S20" s="93"/>
      <c r="T20" s="93"/>
    </row>
    <row r="21" spans="2:20" ht="96" x14ac:dyDescent="0.3">
      <c r="B21" s="8"/>
      <c r="C21" s="59" t="s">
        <v>477</v>
      </c>
      <c r="D21" s="174">
        <f t="shared" si="3"/>
        <v>6.7964399999999996</v>
      </c>
      <c r="E21" s="176"/>
      <c r="F21" s="174">
        <v>6.7964399999999996</v>
      </c>
      <c r="G21" s="174">
        <f t="shared" si="0"/>
        <v>0</v>
      </c>
      <c r="H21" s="176"/>
      <c r="I21" s="174"/>
      <c r="J21" s="174">
        <f t="shared" si="1"/>
        <v>6.7964399999999996</v>
      </c>
      <c r="K21" s="174"/>
      <c r="L21" s="174">
        <v>6.7964399999999996</v>
      </c>
      <c r="M21" s="10">
        <f t="shared" si="2"/>
        <v>100</v>
      </c>
      <c r="N21" s="10"/>
      <c r="O21" s="130"/>
      <c r="P21" s="128"/>
      <c r="Q21" s="134"/>
      <c r="R21" s="13"/>
      <c r="T21" s="93"/>
    </row>
    <row r="22" spans="2:20" ht="48" x14ac:dyDescent="0.3">
      <c r="B22" s="8"/>
      <c r="C22" s="25" t="s">
        <v>53</v>
      </c>
      <c r="D22" s="174">
        <f t="shared" si="3"/>
        <v>17.368569999999998</v>
      </c>
      <c r="E22" s="174">
        <v>17.368569999999998</v>
      </c>
      <c r="F22" s="174"/>
      <c r="G22" s="174">
        <f t="shared" si="0"/>
        <v>17.368569999999998</v>
      </c>
      <c r="H22" s="174">
        <v>17.368569999999998</v>
      </c>
      <c r="I22" s="177"/>
      <c r="J22" s="174">
        <f t="shared" si="1"/>
        <v>17.368569999999998</v>
      </c>
      <c r="K22" s="174">
        <v>17.368569999999998</v>
      </c>
      <c r="L22" s="174"/>
      <c r="M22" s="10">
        <f t="shared" si="2"/>
        <v>100</v>
      </c>
      <c r="N22" s="10"/>
      <c r="O22" s="8" t="s">
        <v>54</v>
      </c>
      <c r="P22" s="24" t="s">
        <v>55</v>
      </c>
      <c r="Q22" s="15" t="s">
        <v>56</v>
      </c>
      <c r="R22" s="13"/>
    </row>
    <row r="23" spans="2:20" ht="36" x14ac:dyDescent="0.3">
      <c r="B23" s="8"/>
      <c r="C23" s="25" t="s">
        <v>57</v>
      </c>
      <c r="D23" s="174">
        <f t="shared" si="3"/>
        <v>63.014139999999998</v>
      </c>
      <c r="E23" s="176">
        <f>-7.8344+70.84854</f>
        <v>63.014139999999998</v>
      </c>
      <c r="F23" s="176"/>
      <c r="G23" s="174">
        <f t="shared" si="0"/>
        <v>737.89912000000004</v>
      </c>
      <c r="H23" s="178">
        <v>337.89911999999998</v>
      </c>
      <c r="I23" s="174">
        <v>400</v>
      </c>
      <c r="J23" s="174">
        <f t="shared" si="1"/>
        <v>63.014139999999998</v>
      </c>
      <c r="K23" s="174">
        <v>63.014139999999998</v>
      </c>
      <c r="L23" s="174"/>
      <c r="M23" s="149">
        <f>(J23+J24)/D23%</f>
        <v>112.43276509050192</v>
      </c>
      <c r="N23" s="125">
        <v>100</v>
      </c>
      <c r="O23" s="129" t="s">
        <v>58</v>
      </c>
      <c r="P23" s="127" t="s">
        <v>59</v>
      </c>
      <c r="Q23" s="133" t="s">
        <v>47</v>
      </c>
      <c r="R23" s="153" t="s">
        <v>60</v>
      </c>
    </row>
    <row r="24" spans="2:20" ht="84" x14ac:dyDescent="0.3">
      <c r="B24" s="8"/>
      <c r="C24" s="14" t="s">
        <v>61</v>
      </c>
      <c r="D24" s="174">
        <f t="shared" si="3"/>
        <v>7.8343999999999996</v>
      </c>
      <c r="E24" s="174">
        <v>7.8343999999999996</v>
      </c>
      <c r="F24" s="174"/>
      <c r="G24" s="174">
        <f t="shared" si="0"/>
        <v>0</v>
      </c>
      <c r="H24" s="174"/>
      <c r="I24" s="174"/>
      <c r="J24" s="174">
        <f t="shared" si="1"/>
        <v>7.8343999999999996</v>
      </c>
      <c r="K24" s="174">
        <v>7.8343999999999996</v>
      </c>
      <c r="L24" s="174"/>
      <c r="M24" s="150"/>
      <c r="N24" s="126"/>
      <c r="O24" s="130"/>
      <c r="P24" s="128"/>
      <c r="Q24" s="134"/>
      <c r="R24" s="154"/>
    </row>
    <row r="25" spans="2:20" ht="47.4" customHeight="1" x14ac:dyDescent="0.3">
      <c r="B25" s="8"/>
      <c r="C25" s="25" t="s">
        <v>62</v>
      </c>
      <c r="D25" s="174">
        <f t="shared" si="3"/>
        <v>384.11356000000001</v>
      </c>
      <c r="E25" s="176">
        <f>416.53496-E26</f>
        <v>384.11356000000001</v>
      </c>
      <c r="F25" s="176"/>
      <c r="G25" s="174">
        <f t="shared" si="0"/>
        <v>730.19691999999998</v>
      </c>
      <c r="H25" s="176">
        <v>730.19691999999998</v>
      </c>
      <c r="I25" s="176"/>
      <c r="J25" s="174">
        <f t="shared" si="1"/>
        <v>364.51557000000003</v>
      </c>
      <c r="K25" s="174">
        <f>201.74537+162.7702</f>
        <v>364.51557000000003</v>
      </c>
      <c r="L25" s="174"/>
      <c r="M25" s="10">
        <f t="shared" si="2"/>
        <v>94.897865620781531</v>
      </c>
      <c r="N25" s="10">
        <v>100</v>
      </c>
      <c r="O25" s="129" t="s">
        <v>63</v>
      </c>
      <c r="P25" s="127" t="s">
        <v>64</v>
      </c>
      <c r="Q25" s="133" t="s">
        <v>47</v>
      </c>
      <c r="R25" s="153" t="s">
        <v>65</v>
      </c>
    </row>
    <row r="26" spans="2:20" ht="84" x14ac:dyDescent="0.3">
      <c r="B26" s="8"/>
      <c r="C26" s="59" t="s">
        <v>61</v>
      </c>
      <c r="D26" s="174">
        <f t="shared" si="3"/>
        <v>32.421399999999998</v>
      </c>
      <c r="E26" s="176">
        <v>32.421399999999998</v>
      </c>
      <c r="F26" s="176"/>
      <c r="G26" s="174">
        <f t="shared" si="0"/>
        <v>0</v>
      </c>
      <c r="H26" s="176"/>
      <c r="I26" s="176"/>
      <c r="J26" s="174">
        <f t="shared" si="1"/>
        <v>32.421399999999998</v>
      </c>
      <c r="K26" s="174">
        <v>32.421399999999998</v>
      </c>
      <c r="L26" s="174"/>
      <c r="M26" s="10">
        <f t="shared" si="2"/>
        <v>100</v>
      </c>
      <c r="N26" s="10"/>
      <c r="O26" s="130"/>
      <c r="P26" s="128"/>
      <c r="Q26" s="134"/>
      <c r="R26" s="154"/>
    </row>
    <row r="27" spans="2:20" ht="72" x14ac:dyDescent="0.3">
      <c r="B27" s="8"/>
      <c r="C27" s="26" t="s">
        <v>66</v>
      </c>
      <c r="D27" s="174">
        <f t="shared" si="3"/>
        <v>497.62223</v>
      </c>
      <c r="E27" s="179">
        <v>497.62223</v>
      </c>
      <c r="F27" s="174"/>
      <c r="G27" s="174">
        <f t="shared" si="0"/>
        <v>715.84181000000001</v>
      </c>
      <c r="H27" s="179">
        <f>78.205+237.63681</f>
        <v>315.84181000000001</v>
      </c>
      <c r="I27" s="174">
        <v>400</v>
      </c>
      <c r="J27" s="174">
        <f t="shared" si="1"/>
        <v>459.55393000000004</v>
      </c>
      <c r="K27" s="179">
        <f>217.42185+74.29458+167.8375</f>
        <v>459.55393000000004</v>
      </c>
      <c r="L27" s="174"/>
      <c r="M27" s="10">
        <f t="shared" si="2"/>
        <v>92.349959928438096</v>
      </c>
      <c r="N27" s="10">
        <v>100</v>
      </c>
      <c r="O27" s="4" t="s">
        <v>67</v>
      </c>
      <c r="P27" s="28" t="s">
        <v>68</v>
      </c>
      <c r="Q27" s="28" t="s">
        <v>47</v>
      </c>
      <c r="R27" s="13" t="s">
        <v>69</v>
      </c>
    </row>
    <row r="28" spans="2:20" ht="48" x14ac:dyDescent="0.3">
      <c r="B28" s="8"/>
      <c r="C28" s="14" t="s">
        <v>70</v>
      </c>
      <c r="D28" s="174">
        <f t="shared" si="3"/>
        <v>443.87457000000001</v>
      </c>
      <c r="E28" s="177">
        <v>443.87457000000001</v>
      </c>
      <c r="F28" s="177"/>
      <c r="G28" s="174">
        <f t="shared" si="0"/>
        <v>443.87457000000001</v>
      </c>
      <c r="H28" s="177">
        <v>443.87457000000001</v>
      </c>
      <c r="I28" s="177"/>
      <c r="J28" s="174">
        <f t="shared" si="1"/>
        <v>195.03043</v>
      </c>
      <c r="K28" s="177">
        <f>11.85271+43.55114+139.62658</f>
        <v>195.03043</v>
      </c>
      <c r="L28" s="177"/>
      <c r="M28" s="10">
        <f t="shared" si="2"/>
        <v>43.938185059801917</v>
      </c>
      <c r="N28" s="10">
        <v>65</v>
      </c>
      <c r="O28" s="131" t="s">
        <v>71</v>
      </c>
      <c r="P28" s="158" t="s">
        <v>72</v>
      </c>
      <c r="Q28" s="151" t="s">
        <v>47</v>
      </c>
      <c r="R28" s="13"/>
    </row>
    <row r="29" spans="2:20" ht="36" x14ac:dyDescent="0.3">
      <c r="B29" s="8"/>
      <c r="C29" s="14" t="s">
        <v>73</v>
      </c>
      <c r="D29" s="174">
        <f>E29</f>
        <v>422.04948000000002</v>
      </c>
      <c r="E29" s="174">
        <v>422.04948000000002</v>
      </c>
      <c r="F29" s="174"/>
      <c r="G29" s="174">
        <f t="shared" si="0"/>
        <v>422.08616000000001</v>
      </c>
      <c r="H29" s="174">
        <v>422.08616000000001</v>
      </c>
      <c r="I29" s="174"/>
      <c r="J29" s="174">
        <f t="shared" si="1"/>
        <v>341.69243999999998</v>
      </c>
      <c r="K29" s="177">
        <f>192.26046+41.44886+107.98312</f>
        <v>341.69243999999998</v>
      </c>
      <c r="L29" s="177"/>
      <c r="M29" s="10">
        <f t="shared" si="2"/>
        <v>80.960279823114575</v>
      </c>
      <c r="N29" s="10">
        <v>65</v>
      </c>
      <c r="O29" s="132"/>
      <c r="P29" s="159"/>
      <c r="Q29" s="152"/>
      <c r="R29" s="13"/>
    </row>
    <row r="30" spans="2:20" ht="60" x14ac:dyDescent="0.3">
      <c r="B30" s="8"/>
      <c r="C30" s="59" t="s">
        <v>74</v>
      </c>
      <c r="D30" s="174">
        <f t="shared" si="3"/>
        <v>249.98381000000001</v>
      </c>
      <c r="E30" s="174">
        <v>249.98381000000001</v>
      </c>
      <c r="F30" s="174"/>
      <c r="G30" s="174">
        <f t="shared" si="0"/>
        <v>307.95898999999997</v>
      </c>
      <c r="H30" s="174">
        <v>307.95898999999997</v>
      </c>
      <c r="I30" s="174"/>
      <c r="J30" s="174">
        <f t="shared" si="1"/>
        <v>237.10452999999998</v>
      </c>
      <c r="K30" s="177">
        <f>173.71658+63.38795</f>
        <v>237.10452999999998</v>
      </c>
      <c r="L30" s="177"/>
      <c r="M30" s="10">
        <f t="shared" si="2"/>
        <v>94.847954353523932</v>
      </c>
      <c r="N30" s="10">
        <v>100</v>
      </c>
      <c r="O30" s="102" t="s">
        <v>58</v>
      </c>
      <c r="P30" s="29" t="s">
        <v>75</v>
      </c>
      <c r="Q30" s="103" t="s">
        <v>76</v>
      </c>
      <c r="R30" s="13" t="s">
        <v>77</v>
      </c>
    </row>
    <row r="31" spans="2:20" ht="48.6" customHeight="1" x14ac:dyDescent="0.3">
      <c r="B31" s="8"/>
      <c r="C31" s="14" t="s">
        <v>78</v>
      </c>
      <c r="D31" s="174">
        <f t="shared" si="3"/>
        <v>51.443809999999999</v>
      </c>
      <c r="E31" s="174">
        <v>51.443809999999999</v>
      </c>
      <c r="F31" s="174"/>
      <c r="G31" s="174">
        <f t="shared" si="0"/>
        <v>51.443809999999999</v>
      </c>
      <c r="H31" s="174">
        <v>51.443809999999999</v>
      </c>
      <c r="I31" s="174"/>
      <c r="J31" s="174">
        <f t="shared" si="1"/>
        <v>46.935510000000001</v>
      </c>
      <c r="K31" s="177">
        <f>6.10443+4.0085+36.82258</f>
        <v>46.935510000000001</v>
      </c>
      <c r="L31" s="177"/>
      <c r="M31" s="10">
        <f t="shared" si="2"/>
        <v>91.236457797352102</v>
      </c>
      <c r="N31" s="10"/>
      <c r="O31" s="102" t="s">
        <v>79</v>
      </c>
      <c r="P31" s="29">
        <v>17</v>
      </c>
      <c r="Q31" s="59" t="s">
        <v>80</v>
      </c>
      <c r="R31" s="13"/>
    </row>
    <row r="32" spans="2:20" ht="72" x14ac:dyDescent="0.3">
      <c r="B32" s="8"/>
      <c r="C32" s="16" t="s">
        <v>81</v>
      </c>
      <c r="D32" s="174">
        <f t="shared" si="3"/>
        <v>173.23631</v>
      </c>
      <c r="E32" s="177">
        <v>3.0973099999999998</v>
      </c>
      <c r="F32" s="177">
        <v>170.13900000000001</v>
      </c>
      <c r="G32" s="174">
        <f t="shared" si="0"/>
        <v>179.08875</v>
      </c>
      <c r="H32" s="177">
        <v>8.9494500000000006</v>
      </c>
      <c r="I32" s="177">
        <v>170.13929999999999</v>
      </c>
      <c r="J32" s="174">
        <f t="shared" si="1"/>
        <v>173.23631</v>
      </c>
      <c r="K32" s="177">
        <v>3.0973099999999998</v>
      </c>
      <c r="L32" s="177">
        <v>170.13900000000001</v>
      </c>
      <c r="M32" s="10">
        <f t="shared" si="2"/>
        <v>100</v>
      </c>
      <c r="N32" s="10">
        <v>100</v>
      </c>
      <c r="O32" s="4" t="s">
        <v>82</v>
      </c>
      <c r="P32" s="11" t="s">
        <v>83</v>
      </c>
      <c r="Q32" s="15" t="s">
        <v>47</v>
      </c>
      <c r="R32" s="13"/>
      <c r="T32" s="93"/>
    </row>
    <row r="33" spans="2:21" ht="60" x14ac:dyDescent="0.3">
      <c r="B33" s="8"/>
      <c r="C33" s="14" t="s">
        <v>618</v>
      </c>
      <c r="D33" s="174">
        <f t="shared" si="3"/>
        <v>1240</v>
      </c>
      <c r="E33" s="176">
        <v>240</v>
      </c>
      <c r="F33" s="174">
        <v>1000</v>
      </c>
      <c r="G33" s="174">
        <f t="shared" si="0"/>
        <v>1626.4379900000001</v>
      </c>
      <c r="H33" s="176">
        <v>299.54879</v>
      </c>
      <c r="I33" s="174">
        <v>1326.8892000000001</v>
      </c>
      <c r="J33" s="174">
        <f t="shared" si="1"/>
        <v>40.881659999999997</v>
      </c>
      <c r="K33" s="174"/>
      <c r="L33" s="174">
        <v>40.881659999999997</v>
      </c>
      <c r="M33" s="10">
        <f t="shared" si="2"/>
        <v>3.2969080645161286</v>
      </c>
      <c r="N33" s="10">
        <v>25</v>
      </c>
      <c r="O33" s="8" t="s">
        <v>84</v>
      </c>
      <c r="P33" s="30">
        <v>41</v>
      </c>
      <c r="Q33" s="110" t="s">
        <v>47</v>
      </c>
      <c r="R33" s="13"/>
      <c r="T33" s="93"/>
    </row>
    <row r="34" spans="2:21" ht="60" x14ac:dyDescent="0.3">
      <c r="B34" s="8"/>
      <c r="C34" s="16" t="s">
        <v>85</v>
      </c>
      <c r="D34" s="174">
        <f t="shared" si="3"/>
        <v>332.79079000000002</v>
      </c>
      <c r="E34" s="177"/>
      <c r="F34" s="177">
        <f>290.53924+42.25155</f>
        <v>332.79079000000002</v>
      </c>
      <c r="G34" s="174">
        <f t="shared" si="0"/>
        <v>385.5</v>
      </c>
      <c r="H34" s="177">
        <v>19.274999999999999</v>
      </c>
      <c r="I34" s="174">
        <v>366.22500000000002</v>
      </c>
      <c r="J34" s="174">
        <f t="shared" si="1"/>
        <v>332.79079000000002</v>
      </c>
      <c r="K34" s="177"/>
      <c r="L34" s="177">
        <f>290.53924+42.25155</f>
        <v>332.79079000000002</v>
      </c>
      <c r="M34" s="10">
        <f t="shared" si="2"/>
        <v>100</v>
      </c>
      <c r="N34" s="10">
        <v>100</v>
      </c>
      <c r="O34" s="4" t="s">
        <v>82</v>
      </c>
      <c r="P34" s="18" t="s">
        <v>86</v>
      </c>
      <c r="Q34" s="59" t="s">
        <v>47</v>
      </c>
      <c r="R34" s="13"/>
      <c r="T34" s="93"/>
    </row>
    <row r="35" spans="2:21" ht="84" x14ac:dyDescent="0.3">
      <c r="B35" s="8"/>
      <c r="C35" s="59" t="s">
        <v>87</v>
      </c>
      <c r="D35" s="174">
        <f t="shared" si="3"/>
        <v>447.34411999999998</v>
      </c>
      <c r="E35" s="177">
        <v>22.34412</v>
      </c>
      <c r="F35" s="177">
        <v>425</v>
      </c>
      <c r="G35" s="180">
        <f t="shared" si="0"/>
        <v>1973.2023199999999</v>
      </c>
      <c r="H35" s="176">
        <f>393.35649-0.04099</f>
        <v>393.31549999999999</v>
      </c>
      <c r="I35" s="176">
        <f>1580.065-0.17818</f>
        <v>1579.8868199999999</v>
      </c>
      <c r="J35" s="174">
        <f t="shared" si="1"/>
        <v>274.04394000000002</v>
      </c>
      <c r="K35" s="177"/>
      <c r="L35" s="177">
        <f>104.23841+80.37935+89.42618</f>
        <v>274.04394000000002</v>
      </c>
      <c r="M35" s="10">
        <f t="shared" si="2"/>
        <v>61.260208360400497</v>
      </c>
      <c r="N35" s="10">
        <v>100</v>
      </c>
      <c r="O35" s="97" t="s">
        <v>88</v>
      </c>
      <c r="P35" s="18" t="s">
        <v>89</v>
      </c>
      <c r="Q35" s="59" t="s">
        <v>90</v>
      </c>
      <c r="R35" s="31" t="s">
        <v>91</v>
      </c>
    </row>
    <row r="36" spans="2:21" ht="48" x14ac:dyDescent="0.3">
      <c r="B36" s="8"/>
      <c r="C36" s="25" t="s">
        <v>92</v>
      </c>
      <c r="D36" s="174">
        <f t="shared" si="3"/>
        <v>68</v>
      </c>
      <c r="E36" s="177">
        <v>68</v>
      </c>
      <c r="F36" s="179"/>
      <c r="G36" s="174">
        <f t="shared" si="0"/>
        <v>68</v>
      </c>
      <c r="H36" s="177">
        <v>68</v>
      </c>
      <c r="I36" s="174"/>
      <c r="J36" s="174">
        <f t="shared" si="1"/>
        <v>68</v>
      </c>
      <c r="K36" s="177">
        <f>17.72969+50.27031</f>
        <v>68</v>
      </c>
      <c r="L36" s="179"/>
      <c r="M36" s="10">
        <f t="shared" si="2"/>
        <v>99.999999999999986</v>
      </c>
      <c r="N36" s="10"/>
      <c r="O36" s="4" t="s">
        <v>93</v>
      </c>
      <c r="P36" s="11" t="s">
        <v>94</v>
      </c>
      <c r="Q36" s="15" t="s">
        <v>95</v>
      </c>
      <c r="R36" s="13"/>
    </row>
    <row r="37" spans="2:21" ht="96" x14ac:dyDescent="0.3">
      <c r="B37" s="8"/>
      <c r="C37" s="44" t="s">
        <v>96</v>
      </c>
      <c r="D37" s="174">
        <f t="shared" si="3"/>
        <v>251.59115</v>
      </c>
      <c r="E37" s="177">
        <v>251.59115</v>
      </c>
      <c r="F37" s="177"/>
      <c r="G37" s="174">
        <f t="shared" si="0"/>
        <v>253.52265</v>
      </c>
      <c r="H37" s="177">
        <v>253.52265</v>
      </c>
      <c r="I37" s="177"/>
      <c r="J37" s="174">
        <f t="shared" si="1"/>
        <v>216.41051999999999</v>
      </c>
      <c r="K37" s="179">
        <f>47.34847+46.18805+122.874</f>
        <v>216.41051999999999</v>
      </c>
      <c r="L37" s="181"/>
      <c r="M37" s="10">
        <f t="shared" si="2"/>
        <v>86.016745819556846</v>
      </c>
      <c r="N37" s="10">
        <v>100</v>
      </c>
      <c r="O37" s="4" t="s">
        <v>97</v>
      </c>
      <c r="P37" s="18">
        <v>72</v>
      </c>
      <c r="Q37" s="32" t="s">
        <v>47</v>
      </c>
      <c r="R37" s="13"/>
    </row>
    <row r="38" spans="2:21" ht="72" x14ac:dyDescent="0.3">
      <c r="B38" s="8"/>
      <c r="C38" s="54" t="s">
        <v>98</v>
      </c>
      <c r="D38" s="174">
        <f t="shared" si="3"/>
        <v>113.26649</v>
      </c>
      <c r="E38" s="177">
        <v>113.26649</v>
      </c>
      <c r="F38" s="177"/>
      <c r="G38" s="174">
        <f t="shared" si="0"/>
        <v>480</v>
      </c>
      <c r="H38" s="177">
        <v>480</v>
      </c>
      <c r="I38" s="177"/>
      <c r="J38" s="174">
        <f t="shared" si="1"/>
        <v>0</v>
      </c>
      <c r="K38" s="179"/>
      <c r="L38" s="181"/>
      <c r="M38" s="10">
        <f t="shared" si="2"/>
        <v>0</v>
      </c>
      <c r="N38" s="10">
        <v>100</v>
      </c>
      <c r="O38" s="4" t="s">
        <v>45</v>
      </c>
      <c r="P38" s="18" t="s">
        <v>99</v>
      </c>
      <c r="Q38" s="33" t="s">
        <v>100</v>
      </c>
      <c r="R38" s="34" t="s">
        <v>101</v>
      </c>
    </row>
    <row r="39" spans="2:21" ht="84" x14ac:dyDescent="0.3">
      <c r="B39" s="8"/>
      <c r="C39" s="44" t="s">
        <v>599</v>
      </c>
      <c r="D39" s="174">
        <f t="shared" si="3"/>
        <v>140</v>
      </c>
      <c r="E39" s="177">
        <v>140</v>
      </c>
      <c r="F39" s="177"/>
      <c r="G39" s="174">
        <f t="shared" si="0"/>
        <v>150</v>
      </c>
      <c r="H39" s="177">
        <v>150</v>
      </c>
      <c r="I39" s="177"/>
      <c r="J39" s="174">
        <f t="shared" si="1"/>
        <v>22.915039999999998</v>
      </c>
      <c r="K39" s="179">
        <f>7.94471+3.50063+2.71312+4.52646+4.23012</f>
        <v>22.915039999999998</v>
      </c>
      <c r="L39" s="181"/>
      <c r="M39" s="10">
        <f t="shared" si="2"/>
        <v>16.367885714285713</v>
      </c>
      <c r="N39" s="10"/>
      <c r="O39" s="4" t="s">
        <v>38</v>
      </c>
      <c r="P39" s="18" t="s">
        <v>39</v>
      </c>
      <c r="Q39" s="32" t="s">
        <v>102</v>
      </c>
      <c r="R39" s="13"/>
    </row>
    <row r="40" spans="2:21" ht="58.2" customHeight="1" x14ac:dyDescent="0.3">
      <c r="B40" s="8"/>
      <c r="C40" s="44" t="s">
        <v>158</v>
      </c>
      <c r="D40" s="174">
        <f t="shared" si="3"/>
        <v>150</v>
      </c>
      <c r="E40" s="177">
        <v>150</v>
      </c>
      <c r="F40" s="177"/>
      <c r="G40" s="174">
        <f t="shared" si="0"/>
        <v>150</v>
      </c>
      <c r="H40" s="177">
        <v>150</v>
      </c>
      <c r="I40" s="177"/>
      <c r="J40" s="174">
        <f t="shared" si="1"/>
        <v>6.8742599999999996</v>
      </c>
      <c r="K40" s="179">
        <v>6.8742599999999996</v>
      </c>
      <c r="L40" s="181"/>
      <c r="M40" s="10">
        <f t="shared" si="2"/>
        <v>4.58284</v>
      </c>
      <c r="N40" s="10"/>
      <c r="O40" s="124" t="s">
        <v>634</v>
      </c>
      <c r="P40" s="18">
        <v>29</v>
      </c>
      <c r="Q40" s="32" t="s">
        <v>40</v>
      </c>
      <c r="R40" s="13"/>
    </row>
    <row r="41" spans="2:21" ht="84" x14ac:dyDescent="0.3">
      <c r="B41" s="8"/>
      <c r="C41" s="111" t="s">
        <v>619</v>
      </c>
      <c r="D41" s="174">
        <f t="shared" si="3"/>
        <v>6.07</v>
      </c>
      <c r="E41" s="177">
        <v>6.07</v>
      </c>
      <c r="F41" s="177"/>
      <c r="G41" s="174">
        <f t="shared" ref="G41:G42" si="4">H41+I41</f>
        <v>49.828069999999997</v>
      </c>
      <c r="H41" s="177">
        <v>49.828069999999997</v>
      </c>
      <c r="I41" s="177"/>
      <c r="J41" s="174">
        <f t="shared" si="1"/>
        <v>0</v>
      </c>
      <c r="K41" s="179"/>
      <c r="L41" s="181"/>
      <c r="M41" s="10">
        <f t="shared" si="2"/>
        <v>0</v>
      </c>
      <c r="N41" s="10"/>
      <c r="O41" s="4" t="s">
        <v>573</v>
      </c>
      <c r="P41" s="96">
        <v>109</v>
      </c>
      <c r="Q41" s="112" t="s">
        <v>102</v>
      </c>
      <c r="R41" s="13"/>
    </row>
    <row r="42" spans="2:21" x14ac:dyDescent="0.3">
      <c r="B42" s="8"/>
      <c r="C42" s="113"/>
      <c r="D42" s="174">
        <f t="shared" si="3"/>
        <v>35.144539999999999</v>
      </c>
      <c r="E42" s="177">
        <v>35.144539999999999</v>
      </c>
      <c r="F42" s="177"/>
      <c r="G42" s="174">
        <f t="shared" si="4"/>
        <v>370</v>
      </c>
      <c r="H42" s="177">
        <v>370</v>
      </c>
      <c r="I42" s="177"/>
      <c r="J42" s="174">
        <f t="shared" si="1"/>
        <v>0</v>
      </c>
      <c r="K42" s="179"/>
      <c r="L42" s="181"/>
      <c r="M42" s="10"/>
      <c r="N42" s="10"/>
      <c r="O42" s="4"/>
      <c r="P42" s="96"/>
      <c r="Q42" s="114"/>
      <c r="R42" s="13"/>
    </row>
    <row r="43" spans="2:21" x14ac:dyDescent="0.3">
      <c r="B43" s="8"/>
      <c r="C43" s="35" t="s">
        <v>620</v>
      </c>
      <c r="D43" s="174"/>
      <c r="E43" s="177"/>
      <c r="F43" s="177">
        <v>360.32521000000003</v>
      </c>
      <c r="G43" s="174"/>
      <c r="H43" s="177"/>
      <c r="I43" s="177"/>
      <c r="J43" s="174"/>
      <c r="K43" s="179"/>
      <c r="L43" s="181"/>
      <c r="M43" s="10"/>
      <c r="N43" s="10"/>
      <c r="O43" s="4"/>
      <c r="P43" s="11"/>
      <c r="Q43" s="36"/>
      <c r="R43" s="13"/>
      <c r="T43" s="93"/>
    </row>
    <row r="44" spans="2:21" x14ac:dyDescent="0.3">
      <c r="B44" s="8"/>
      <c r="C44" s="9" t="s">
        <v>41</v>
      </c>
      <c r="D44" s="173">
        <f t="shared" ref="D44:D154" si="5">E44+F44</f>
        <v>7036.0974500000011</v>
      </c>
      <c r="E44" s="173">
        <f>SUM(E18:E43)</f>
        <v>3549.6909500000006</v>
      </c>
      <c r="F44" s="173">
        <f>SUM(F18:F43)</f>
        <v>3486.4065000000001</v>
      </c>
      <c r="G44" s="173">
        <f t="shared" si="0"/>
        <v>10380.212380000001</v>
      </c>
      <c r="H44" s="173">
        <f>SUM(H18:H40)</f>
        <v>4860.1604900000002</v>
      </c>
      <c r="I44" s="173">
        <f>SUM(I18:I40)</f>
        <v>5520.0518899999997</v>
      </c>
      <c r="J44" s="173">
        <f t="shared" si="1"/>
        <v>4058.3023499999999</v>
      </c>
      <c r="K44" s="173">
        <f>SUM(K18:K40)</f>
        <v>2323.7188299999998</v>
      </c>
      <c r="L44" s="173">
        <f>SUM(L18:L40)</f>
        <v>1734.5835199999999</v>
      </c>
      <c r="M44" s="75">
        <f t="shared" si="2"/>
        <v>57.678313565711051</v>
      </c>
      <c r="N44" s="10"/>
      <c r="O44" s="8"/>
      <c r="P44" s="11"/>
      <c r="Q44" s="12"/>
      <c r="R44" s="13"/>
      <c r="U44" s="93"/>
    </row>
    <row r="45" spans="2:21" ht="24" x14ac:dyDescent="0.3">
      <c r="B45" s="8" t="s">
        <v>103</v>
      </c>
      <c r="C45" s="9" t="s">
        <v>104</v>
      </c>
      <c r="D45" s="173"/>
      <c r="E45" s="174"/>
      <c r="F45" s="174"/>
      <c r="G45" s="173"/>
      <c r="H45" s="174"/>
      <c r="I45" s="174"/>
      <c r="J45" s="173"/>
      <c r="K45" s="174"/>
      <c r="L45" s="174"/>
      <c r="M45" s="10"/>
      <c r="N45" s="10"/>
      <c r="O45" s="8"/>
      <c r="P45" s="11"/>
      <c r="Q45" s="12"/>
      <c r="R45" s="13"/>
    </row>
    <row r="46" spans="2:21" ht="60" x14ac:dyDescent="0.3">
      <c r="B46" s="8" t="s">
        <v>105</v>
      </c>
      <c r="C46" s="14" t="s">
        <v>106</v>
      </c>
      <c r="D46" s="174">
        <f t="shared" si="5"/>
        <v>13.120799999999999</v>
      </c>
      <c r="E46" s="182">
        <v>13.120799999999999</v>
      </c>
      <c r="F46" s="174"/>
      <c r="G46" s="174">
        <f t="shared" si="0"/>
        <v>13.120799999999999</v>
      </c>
      <c r="H46" s="182">
        <v>13.120799999999999</v>
      </c>
      <c r="I46" s="174"/>
      <c r="J46" s="174">
        <f t="shared" si="1"/>
        <v>5.4472000000000005</v>
      </c>
      <c r="K46" s="174">
        <f>0.902+0.9372+0.902+0.902+0.902+0.902</f>
        <v>5.4472000000000005</v>
      </c>
      <c r="L46" s="174"/>
      <c r="M46" s="10">
        <f t="shared" ref="M46:M108" si="6">J46/D46%</f>
        <v>41.5157612340711</v>
      </c>
      <c r="N46" s="10"/>
      <c r="O46" s="8" t="s">
        <v>107</v>
      </c>
      <c r="P46" s="11" t="s">
        <v>108</v>
      </c>
      <c r="Q46" s="15" t="s">
        <v>109</v>
      </c>
      <c r="R46" s="13"/>
    </row>
    <row r="47" spans="2:21" ht="48" x14ac:dyDescent="0.3">
      <c r="B47" s="8"/>
      <c r="C47" s="37" t="s">
        <v>110</v>
      </c>
      <c r="D47" s="174">
        <f t="shared" si="5"/>
        <v>30.326000000000001</v>
      </c>
      <c r="E47" s="182">
        <f>8.26+22.066</f>
        <v>30.326000000000001</v>
      </c>
      <c r="F47" s="174"/>
      <c r="G47" s="174">
        <f t="shared" si="0"/>
        <v>30.326000000000001</v>
      </c>
      <c r="H47" s="182">
        <f>8.26+22.066</f>
        <v>30.326000000000001</v>
      </c>
      <c r="I47" s="174"/>
      <c r="J47" s="174">
        <f t="shared" si="1"/>
        <v>30.326000000000001</v>
      </c>
      <c r="K47" s="174">
        <f>22.066+8.26</f>
        <v>30.326000000000001</v>
      </c>
      <c r="L47" s="174"/>
      <c r="M47" s="10">
        <f t="shared" si="6"/>
        <v>99.999999999999986</v>
      </c>
      <c r="N47" s="10"/>
      <c r="O47" s="8" t="s">
        <v>111</v>
      </c>
      <c r="P47" s="18">
        <v>65</v>
      </c>
      <c r="Q47" s="38" t="s">
        <v>112</v>
      </c>
      <c r="R47" s="13"/>
    </row>
    <row r="48" spans="2:21" ht="84" x14ac:dyDescent="0.3">
      <c r="B48" s="8"/>
      <c r="C48" s="59" t="s">
        <v>478</v>
      </c>
      <c r="D48" s="174">
        <f t="shared" si="5"/>
        <v>35.695</v>
      </c>
      <c r="E48" s="182">
        <v>35.695</v>
      </c>
      <c r="F48" s="174"/>
      <c r="G48" s="174">
        <f t="shared" si="0"/>
        <v>35.695</v>
      </c>
      <c r="H48" s="182">
        <v>35.695</v>
      </c>
      <c r="I48" s="174"/>
      <c r="J48" s="174">
        <f t="shared" si="1"/>
        <v>35.695</v>
      </c>
      <c r="K48" s="174">
        <v>35.695</v>
      </c>
      <c r="L48" s="174"/>
      <c r="M48" s="10">
        <f t="shared" si="6"/>
        <v>100</v>
      </c>
      <c r="N48" s="10"/>
      <c r="O48" s="8" t="s">
        <v>598</v>
      </c>
      <c r="P48" s="18">
        <v>76</v>
      </c>
      <c r="Q48" s="38" t="s">
        <v>479</v>
      </c>
      <c r="R48" s="13"/>
    </row>
    <row r="49" spans="2:18" ht="120" x14ac:dyDescent="0.3">
      <c r="B49" s="8"/>
      <c r="C49" s="111" t="s">
        <v>515</v>
      </c>
      <c r="D49" s="174">
        <f t="shared" si="5"/>
        <v>4.3071999999999999</v>
      </c>
      <c r="E49" s="182">
        <v>4.3071999999999999</v>
      </c>
      <c r="F49" s="174"/>
      <c r="G49" s="174">
        <f t="shared" si="0"/>
        <v>4.3071999999999999</v>
      </c>
      <c r="H49" s="182">
        <v>4.3071999999999999</v>
      </c>
      <c r="I49" s="174"/>
      <c r="J49" s="174">
        <f t="shared" si="1"/>
        <v>0</v>
      </c>
      <c r="K49" s="174"/>
      <c r="L49" s="174"/>
      <c r="M49" s="10">
        <f t="shared" si="6"/>
        <v>0</v>
      </c>
      <c r="N49" s="10"/>
      <c r="O49" s="8" t="s">
        <v>663</v>
      </c>
      <c r="P49" s="18" t="s">
        <v>597</v>
      </c>
      <c r="Q49" s="112" t="s">
        <v>109</v>
      </c>
      <c r="R49" s="13"/>
    </row>
    <row r="50" spans="2:18" x14ac:dyDescent="0.3">
      <c r="B50" s="8"/>
      <c r="C50" s="111"/>
      <c r="D50" s="174">
        <f t="shared" si="5"/>
        <v>6.0510000000000002</v>
      </c>
      <c r="E50" s="182">
        <v>6.0510000000000002</v>
      </c>
      <c r="F50" s="174"/>
      <c r="G50" s="174"/>
      <c r="H50" s="182"/>
      <c r="I50" s="174"/>
      <c r="J50" s="174"/>
      <c r="K50" s="174"/>
      <c r="L50" s="174"/>
      <c r="M50" s="10">
        <f t="shared" si="6"/>
        <v>0</v>
      </c>
      <c r="N50" s="10"/>
      <c r="O50" s="8"/>
      <c r="P50" s="18"/>
      <c r="Q50" s="112"/>
      <c r="R50" s="13"/>
    </row>
    <row r="51" spans="2:18" x14ac:dyDescent="0.3">
      <c r="B51" s="8"/>
      <c r="C51" s="26" t="s">
        <v>41</v>
      </c>
      <c r="D51" s="173">
        <f t="shared" si="5"/>
        <v>89.499999999999986</v>
      </c>
      <c r="E51" s="174">
        <f>SUM(E46:E50)</f>
        <v>89.499999999999986</v>
      </c>
      <c r="F51" s="174">
        <f>SUM(F46:F47)</f>
        <v>0</v>
      </c>
      <c r="G51" s="173">
        <f t="shared" si="0"/>
        <v>43.446799999999996</v>
      </c>
      <c r="H51" s="174">
        <f>SUM(H46:H47)</f>
        <v>43.446799999999996</v>
      </c>
      <c r="I51" s="174">
        <f>SUM(I46:I47)</f>
        <v>0</v>
      </c>
      <c r="J51" s="173">
        <f t="shared" si="1"/>
        <v>71.468199999999996</v>
      </c>
      <c r="K51" s="174">
        <f>SUM(K46:K49)</f>
        <v>71.468199999999996</v>
      </c>
      <c r="L51" s="174">
        <f>SUM(L46:L49)</f>
        <v>0</v>
      </c>
      <c r="M51" s="10">
        <f t="shared" si="6"/>
        <v>79.852737430167608</v>
      </c>
      <c r="N51" s="10"/>
      <c r="O51" s="8"/>
      <c r="P51" s="11"/>
      <c r="Q51" s="6"/>
      <c r="R51" s="13"/>
    </row>
    <row r="52" spans="2:18" x14ac:dyDescent="0.3">
      <c r="B52" s="8"/>
      <c r="C52" s="26"/>
      <c r="D52" s="173"/>
      <c r="E52" s="174"/>
      <c r="F52" s="174"/>
      <c r="G52" s="173"/>
      <c r="H52" s="174"/>
      <c r="I52" s="174"/>
      <c r="J52" s="173"/>
      <c r="K52" s="174"/>
      <c r="L52" s="174"/>
      <c r="M52" s="10"/>
      <c r="N52" s="10"/>
      <c r="O52" s="8"/>
      <c r="P52" s="11"/>
      <c r="Q52" s="6"/>
      <c r="R52" s="13"/>
    </row>
    <row r="53" spans="2:18" x14ac:dyDescent="0.3">
      <c r="B53" s="8"/>
      <c r="C53" s="26"/>
      <c r="D53" s="173"/>
      <c r="E53" s="174"/>
      <c r="F53" s="174"/>
      <c r="G53" s="173"/>
      <c r="H53" s="174"/>
      <c r="I53" s="174"/>
      <c r="J53" s="173"/>
      <c r="K53" s="174"/>
      <c r="L53" s="174"/>
      <c r="M53" s="10"/>
      <c r="N53" s="10"/>
      <c r="O53" s="8"/>
      <c r="P53" s="11"/>
      <c r="Q53" s="6"/>
      <c r="R53" s="13"/>
    </row>
    <row r="54" spans="2:18" ht="36" x14ac:dyDescent="0.3">
      <c r="B54" s="21" t="s">
        <v>113</v>
      </c>
      <c r="C54" s="39" t="s">
        <v>114</v>
      </c>
      <c r="D54" s="173"/>
      <c r="E54" s="172"/>
      <c r="F54" s="172"/>
      <c r="G54" s="173"/>
      <c r="H54" s="172"/>
      <c r="I54" s="172"/>
      <c r="J54" s="173"/>
      <c r="K54" s="172"/>
      <c r="L54" s="172"/>
      <c r="M54" s="10"/>
      <c r="N54" s="10"/>
      <c r="O54" s="23"/>
      <c r="P54" s="17"/>
      <c r="Q54" s="23"/>
      <c r="R54" s="13"/>
    </row>
    <row r="55" spans="2:18" ht="80.400000000000006" customHeight="1" x14ac:dyDescent="0.3">
      <c r="B55" s="8" t="s">
        <v>17</v>
      </c>
      <c r="C55" s="14" t="s">
        <v>115</v>
      </c>
      <c r="D55" s="174">
        <f>E55+F55</f>
        <v>519.76944000000003</v>
      </c>
      <c r="E55" s="177">
        <v>519.76944000000003</v>
      </c>
      <c r="F55" s="177"/>
      <c r="G55" s="174">
        <f>H55+I55</f>
        <v>0</v>
      </c>
      <c r="H55" s="177"/>
      <c r="I55" s="177"/>
      <c r="J55" s="174">
        <f>K55+L55</f>
        <v>513.00002000000006</v>
      </c>
      <c r="K55" s="177">
        <f>56.80784+48.81379+0.1578+55.91946+0.77376+59.82237+55.73494+51.67438+56.23616+64.09993+61.76391+1.19568</f>
        <v>513.00002000000006</v>
      </c>
      <c r="L55" s="177"/>
      <c r="M55" s="10">
        <f>J55/D55%</f>
        <v>98.697611002293641</v>
      </c>
      <c r="N55" s="10"/>
      <c r="O55" s="26"/>
      <c r="P55" s="15" t="s">
        <v>116</v>
      </c>
      <c r="Q55" s="15" t="s">
        <v>117</v>
      </c>
      <c r="R55" s="13"/>
    </row>
    <row r="56" spans="2:18" ht="96" x14ac:dyDescent="0.3">
      <c r="B56" s="8"/>
      <c r="C56" s="14" t="s">
        <v>118</v>
      </c>
      <c r="D56" s="174">
        <f t="shared" si="5"/>
        <v>201.20573999999999</v>
      </c>
      <c r="E56" s="177">
        <f>-5.98333+6.83502</f>
        <v>0.8516900000000005</v>
      </c>
      <c r="F56" s="177">
        <v>200.35405</v>
      </c>
      <c r="G56" s="174">
        <f t="shared" si="0"/>
        <v>1300.7370100000001</v>
      </c>
      <c r="H56" s="176">
        <v>70.036950000000004</v>
      </c>
      <c r="I56" s="177">
        <v>1230.7000600000001</v>
      </c>
      <c r="J56" s="174">
        <f t="shared" si="1"/>
        <v>201.20573999999999</v>
      </c>
      <c r="K56" s="177">
        <v>0.85168999999999995</v>
      </c>
      <c r="L56" s="177">
        <f>131.21134+69.14271</f>
        <v>200.35405</v>
      </c>
      <c r="M56" s="149">
        <f>(J56+J57)/(D56+D57)%</f>
        <v>100</v>
      </c>
      <c r="N56" s="125"/>
      <c r="O56" s="145" t="s">
        <v>119</v>
      </c>
      <c r="P56" s="145" t="s">
        <v>120</v>
      </c>
      <c r="Q56" s="160" t="s">
        <v>121</v>
      </c>
      <c r="R56" s="153" t="s">
        <v>122</v>
      </c>
    </row>
    <row r="57" spans="2:18" ht="48" x14ac:dyDescent="0.3">
      <c r="B57" s="8"/>
      <c r="C57" s="14" t="s">
        <v>123</v>
      </c>
      <c r="D57" s="174">
        <f t="shared" si="5"/>
        <v>5.9833299999999996</v>
      </c>
      <c r="E57" s="177">
        <v>5.9833299999999996</v>
      </c>
      <c r="F57" s="177"/>
      <c r="G57" s="174">
        <f t="shared" si="0"/>
        <v>0</v>
      </c>
      <c r="H57" s="176"/>
      <c r="I57" s="177"/>
      <c r="J57" s="174">
        <f t="shared" si="1"/>
        <v>5.9833299999999996</v>
      </c>
      <c r="K57" s="177">
        <v>5.9833299999999996</v>
      </c>
      <c r="L57" s="177"/>
      <c r="M57" s="150"/>
      <c r="N57" s="126"/>
      <c r="O57" s="146"/>
      <c r="P57" s="146"/>
      <c r="Q57" s="161"/>
      <c r="R57" s="154"/>
    </row>
    <row r="58" spans="2:18" ht="48" x14ac:dyDescent="0.3">
      <c r="B58" s="8"/>
      <c r="C58" s="26" t="s">
        <v>124</v>
      </c>
      <c r="D58" s="174">
        <f t="shared" si="5"/>
        <v>57.777000000000001</v>
      </c>
      <c r="E58" s="176">
        <v>57.777000000000001</v>
      </c>
      <c r="F58" s="176"/>
      <c r="G58" s="174">
        <f t="shared" si="0"/>
        <v>57.777000000000001</v>
      </c>
      <c r="H58" s="176">
        <v>57.777000000000001</v>
      </c>
      <c r="I58" s="177"/>
      <c r="J58" s="174">
        <f t="shared" si="1"/>
        <v>57.777000000000001</v>
      </c>
      <c r="K58" s="177">
        <v>57.777000000000001</v>
      </c>
      <c r="L58" s="177"/>
      <c r="M58" s="10">
        <f t="shared" si="6"/>
        <v>100</v>
      </c>
      <c r="N58" s="10"/>
      <c r="O58" s="4" t="s">
        <v>125</v>
      </c>
      <c r="P58" s="24" t="s">
        <v>126</v>
      </c>
      <c r="Q58" s="15" t="s">
        <v>127</v>
      </c>
      <c r="R58" s="13"/>
    </row>
    <row r="59" spans="2:18" ht="84" customHeight="1" x14ac:dyDescent="0.3">
      <c r="B59" s="8"/>
      <c r="C59" s="14" t="s">
        <v>128</v>
      </c>
      <c r="D59" s="174">
        <f t="shared" si="5"/>
        <v>7</v>
      </c>
      <c r="E59" s="176">
        <v>7</v>
      </c>
      <c r="F59" s="177"/>
      <c r="G59" s="174">
        <f t="shared" si="0"/>
        <v>7</v>
      </c>
      <c r="H59" s="176">
        <v>7</v>
      </c>
      <c r="I59" s="177"/>
      <c r="J59" s="174">
        <f t="shared" si="1"/>
        <v>6.2</v>
      </c>
      <c r="K59" s="177">
        <f>2.5+1+2.7</f>
        <v>6.2</v>
      </c>
      <c r="L59" s="177"/>
      <c r="M59" s="10">
        <f t="shared" si="6"/>
        <v>88.571428571428569</v>
      </c>
      <c r="N59" s="10">
        <v>100</v>
      </c>
      <c r="O59" s="26"/>
      <c r="P59" s="15" t="s">
        <v>129</v>
      </c>
      <c r="Q59" s="15" t="s">
        <v>130</v>
      </c>
      <c r="R59" s="13"/>
    </row>
    <row r="60" spans="2:18" ht="132" x14ac:dyDescent="0.3">
      <c r="B60" s="8"/>
      <c r="C60" s="14" t="s">
        <v>131</v>
      </c>
      <c r="D60" s="174">
        <f t="shared" si="5"/>
        <v>98.1</v>
      </c>
      <c r="E60" s="183">
        <v>98.1</v>
      </c>
      <c r="F60" s="174"/>
      <c r="G60" s="174">
        <f t="shared" si="0"/>
        <v>98.1</v>
      </c>
      <c r="H60" s="183">
        <v>98.1</v>
      </c>
      <c r="I60" s="184"/>
      <c r="J60" s="174">
        <f t="shared" si="1"/>
        <v>98.07547000000001</v>
      </c>
      <c r="K60" s="174">
        <f>26.15267+26.91533+19.53884+25.46863</f>
        <v>98.07547000000001</v>
      </c>
      <c r="L60" s="174"/>
      <c r="M60" s="10">
        <f t="shared" si="6"/>
        <v>99.974994903160052</v>
      </c>
      <c r="N60" s="10"/>
      <c r="O60" s="40" t="s">
        <v>132</v>
      </c>
      <c r="P60" s="41" t="s">
        <v>133</v>
      </c>
      <c r="Q60" s="36" t="s">
        <v>134</v>
      </c>
      <c r="R60" s="13"/>
    </row>
    <row r="61" spans="2:18" ht="57" customHeight="1" x14ac:dyDescent="0.3">
      <c r="B61" s="8"/>
      <c r="C61" s="42" t="s">
        <v>135</v>
      </c>
      <c r="D61" s="174">
        <f t="shared" si="5"/>
        <v>217.39032</v>
      </c>
      <c r="E61" s="174">
        <v>217.39032</v>
      </c>
      <c r="F61" s="174"/>
      <c r="G61" s="174">
        <f t="shared" si="0"/>
        <v>519.41044999999997</v>
      </c>
      <c r="H61" s="174">
        <v>519.41044999999997</v>
      </c>
      <c r="I61" s="177"/>
      <c r="J61" s="174">
        <f t="shared" si="1"/>
        <v>156.77862999999999</v>
      </c>
      <c r="K61" s="174">
        <f>87.22975+51.03251+18.51637</f>
        <v>156.77862999999999</v>
      </c>
      <c r="L61" s="174"/>
      <c r="M61" s="10">
        <f t="shared" si="6"/>
        <v>72.118496352551489</v>
      </c>
      <c r="N61" s="10">
        <v>100</v>
      </c>
      <c r="O61" s="6" t="s">
        <v>136</v>
      </c>
      <c r="P61" s="6" t="s">
        <v>137</v>
      </c>
      <c r="Q61" s="36" t="s">
        <v>138</v>
      </c>
      <c r="R61" s="13" t="s">
        <v>139</v>
      </c>
    </row>
    <row r="62" spans="2:18" ht="96" x14ac:dyDescent="0.3">
      <c r="B62" s="8"/>
      <c r="C62" s="14" t="s">
        <v>140</v>
      </c>
      <c r="D62" s="174">
        <f t="shared" si="5"/>
        <v>2.8</v>
      </c>
      <c r="E62" s="183">
        <v>2.8</v>
      </c>
      <c r="F62" s="183"/>
      <c r="G62" s="174">
        <f t="shared" si="0"/>
        <v>2.8</v>
      </c>
      <c r="H62" s="183">
        <v>2.8</v>
      </c>
      <c r="I62" s="183"/>
      <c r="J62" s="174">
        <f t="shared" si="1"/>
        <v>2.8</v>
      </c>
      <c r="K62" s="174">
        <f>1.4+1.4</f>
        <v>2.8</v>
      </c>
      <c r="L62" s="174"/>
      <c r="M62" s="10">
        <f t="shared" si="6"/>
        <v>100</v>
      </c>
      <c r="N62" s="10"/>
      <c r="O62" s="40"/>
      <c r="P62" s="15" t="s">
        <v>141</v>
      </c>
      <c r="Q62" s="15" t="s">
        <v>142</v>
      </c>
      <c r="R62" s="13"/>
    </row>
    <row r="63" spans="2:18" ht="72" x14ac:dyDescent="0.3">
      <c r="B63" s="8"/>
      <c r="C63" s="14" t="s">
        <v>143</v>
      </c>
      <c r="D63" s="174">
        <f t="shared" si="5"/>
        <v>178.42344000000003</v>
      </c>
      <c r="E63" s="177">
        <f>-0.71656+170.491+8.649</f>
        <v>178.42344000000003</v>
      </c>
      <c r="F63" s="177"/>
      <c r="G63" s="174">
        <f t="shared" si="0"/>
        <v>179.14</v>
      </c>
      <c r="H63" s="177">
        <f>179.14-H64</f>
        <v>179.14</v>
      </c>
      <c r="I63" s="177"/>
      <c r="J63" s="174">
        <f t="shared" si="1"/>
        <v>169.77388999999999</v>
      </c>
      <c r="K63" s="174">
        <v>169.77388999999999</v>
      </c>
      <c r="L63" s="174"/>
      <c r="M63" s="149">
        <f>(J63+J64)/D63%</f>
        <v>95.553840907898618</v>
      </c>
      <c r="N63" s="125">
        <v>100</v>
      </c>
      <c r="O63" s="145" t="s">
        <v>144</v>
      </c>
      <c r="P63" s="145" t="s">
        <v>145</v>
      </c>
      <c r="Q63" s="145" t="s">
        <v>146</v>
      </c>
      <c r="R63" s="156"/>
    </row>
    <row r="64" spans="2:18" ht="72" x14ac:dyDescent="0.3">
      <c r="B64" s="8"/>
      <c r="C64" s="14" t="s">
        <v>147</v>
      </c>
      <c r="D64" s="174">
        <f t="shared" si="5"/>
        <v>0.71655999999999997</v>
      </c>
      <c r="E64" s="183">
        <v>0.71655999999999997</v>
      </c>
      <c r="F64" s="183"/>
      <c r="G64" s="174">
        <f t="shared" si="0"/>
        <v>0</v>
      </c>
      <c r="H64" s="183"/>
      <c r="I64" s="184"/>
      <c r="J64" s="174">
        <f t="shared" si="1"/>
        <v>0.71655999999999997</v>
      </c>
      <c r="K64" s="177">
        <v>0.71655999999999997</v>
      </c>
      <c r="L64" s="177"/>
      <c r="M64" s="150"/>
      <c r="N64" s="126"/>
      <c r="O64" s="146"/>
      <c r="P64" s="146"/>
      <c r="Q64" s="146"/>
      <c r="R64" s="157"/>
    </row>
    <row r="65" spans="2:18" ht="48" x14ac:dyDescent="0.3">
      <c r="B65" s="8"/>
      <c r="C65" s="14" t="s">
        <v>148</v>
      </c>
      <c r="D65" s="174">
        <f t="shared" si="5"/>
        <v>200.95415</v>
      </c>
      <c r="E65" s="177">
        <v>200.95415</v>
      </c>
      <c r="F65" s="185"/>
      <c r="G65" s="174">
        <f t="shared" si="0"/>
        <v>200.95415</v>
      </c>
      <c r="H65" s="177">
        <v>200.95415</v>
      </c>
      <c r="I65" s="185"/>
      <c r="J65" s="174">
        <f t="shared" si="1"/>
        <v>135.34264999999999</v>
      </c>
      <c r="K65" s="177">
        <v>135.34264999999999</v>
      </c>
      <c r="L65" s="185"/>
      <c r="M65" s="10">
        <f t="shared" si="6"/>
        <v>67.350014916337869</v>
      </c>
      <c r="N65" s="10">
        <v>90</v>
      </c>
      <c r="O65" s="4" t="s">
        <v>149</v>
      </c>
      <c r="P65" s="6" t="s">
        <v>150</v>
      </c>
      <c r="Q65" s="15" t="s">
        <v>146</v>
      </c>
      <c r="R65" s="23"/>
    </row>
    <row r="66" spans="2:18" ht="48" x14ac:dyDescent="0.3">
      <c r="B66" s="8"/>
      <c r="C66" s="26" t="s">
        <v>151</v>
      </c>
      <c r="D66" s="174">
        <f t="shared" si="5"/>
        <v>71.825999999999993</v>
      </c>
      <c r="E66" s="177">
        <v>71.825999999999993</v>
      </c>
      <c r="F66" s="177"/>
      <c r="G66" s="174">
        <f t="shared" si="0"/>
        <v>100</v>
      </c>
      <c r="H66" s="177">
        <v>100</v>
      </c>
      <c r="I66" s="177"/>
      <c r="J66" s="174">
        <f t="shared" si="1"/>
        <v>2.8200699999999999</v>
      </c>
      <c r="K66" s="179">
        <v>2.8200699999999999</v>
      </c>
      <c r="L66" s="181"/>
      <c r="M66" s="10">
        <f t="shared" si="6"/>
        <v>3.9262523320246152</v>
      </c>
      <c r="N66" s="10"/>
      <c r="O66" s="4" t="s">
        <v>152</v>
      </c>
      <c r="P66" s="11" t="s">
        <v>153</v>
      </c>
      <c r="Q66" s="43" t="s">
        <v>154</v>
      </c>
      <c r="R66" s="13"/>
    </row>
    <row r="67" spans="2:18" ht="72" x14ac:dyDescent="0.3">
      <c r="B67" s="8"/>
      <c r="C67" s="110" t="s">
        <v>155</v>
      </c>
      <c r="D67" s="174">
        <f t="shared" si="5"/>
        <v>0.90500000000000003</v>
      </c>
      <c r="E67" s="176">
        <v>0.90500000000000003</v>
      </c>
      <c r="F67" s="176"/>
      <c r="G67" s="174">
        <f t="shared" si="0"/>
        <v>0.90500000000000003</v>
      </c>
      <c r="H67" s="176">
        <v>0.90500000000000003</v>
      </c>
      <c r="I67" s="177"/>
      <c r="J67" s="174">
        <f t="shared" si="1"/>
        <v>0.90500000000000003</v>
      </c>
      <c r="K67" s="177">
        <v>0.90500000000000003</v>
      </c>
      <c r="L67" s="177"/>
      <c r="M67" s="10">
        <f t="shared" si="6"/>
        <v>100</v>
      </c>
      <c r="N67" s="10"/>
      <c r="O67" s="4" t="s">
        <v>156</v>
      </c>
      <c r="P67" s="30">
        <v>58</v>
      </c>
      <c r="Q67" s="36" t="s">
        <v>157</v>
      </c>
      <c r="R67" s="13"/>
    </row>
    <row r="68" spans="2:18" ht="72" x14ac:dyDescent="0.3">
      <c r="B68" s="8"/>
      <c r="C68" s="59" t="s">
        <v>158</v>
      </c>
      <c r="D68" s="174">
        <f t="shared" si="5"/>
        <v>17.649450000000002</v>
      </c>
      <c r="E68" s="176">
        <v>17.649450000000002</v>
      </c>
      <c r="F68" s="176"/>
      <c r="G68" s="174">
        <f t="shared" si="0"/>
        <v>22.89545</v>
      </c>
      <c r="H68" s="176">
        <v>22.89545</v>
      </c>
      <c r="I68" s="177"/>
      <c r="J68" s="174">
        <f t="shared" si="1"/>
        <v>17.647040000000001</v>
      </c>
      <c r="K68" s="177">
        <f>0.13216+1.75342+15.76146</f>
        <v>17.647040000000001</v>
      </c>
      <c r="L68" s="177"/>
      <c r="M68" s="10">
        <f t="shared" si="6"/>
        <v>99.986345183560942</v>
      </c>
      <c r="N68" s="10"/>
      <c r="O68" s="4" t="s">
        <v>159</v>
      </c>
      <c r="P68" s="30">
        <v>17</v>
      </c>
      <c r="Q68" s="36" t="s">
        <v>102</v>
      </c>
      <c r="R68" s="13"/>
    </row>
    <row r="69" spans="2:18" ht="72" x14ac:dyDescent="0.3">
      <c r="B69" s="8"/>
      <c r="C69" s="42" t="s">
        <v>160</v>
      </c>
      <c r="D69" s="174">
        <f t="shared" si="5"/>
        <v>829.20500000000004</v>
      </c>
      <c r="E69" s="176">
        <v>829.20500000000004</v>
      </c>
      <c r="F69" s="176"/>
      <c r="G69" s="174">
        <f t="shared" si="0"/>
        <v>1064.99548</v>
      </c>
      <c r="H69" s="176">
        <v>1064.99548</v>
      </c>
      <c r="I69" s="177"/>
      <c r="J69" s="174">
        <f t="shared" si="1"/>
        <v>829.20411999999999</v>
      </c>
      <c r="K69" s="177">
        <f>319.2388+212.999+296.96632</f>
        <v>829.20411999999999</v>
      </c>
      <c r="L69" s="177"/>
      <c r="M69" s="10">
        <f t="shared" si="6"/>
        <v>99.999893874253047</v>
      </c>
      <c r="N69" s="10">
        <v>95</v>
      </c>
      <c r="O69" s="4" t="s">
        <v>161</v>
      </c>
      <c r="P69" s="30">
        <v>64</v>
      </c>
      <c r="Q69" s="36" t="s">
        <v>162</v>
      </c>
      <c r="R69" s="13"/>
    </row>
    <row r="70" spans="2:18" ht="60" x14ac:dyDescent="0.3">
      <c r="B70" s="8"/>
      <c r="C70" s="71" t="s">
        <v>163</v>
      </c>
      <c r="D70" s="174">
        <f t="shared" si="5"/>
        <v>2.5</v>
      </c>
      <c r="E70" s="176">
        <v>2.5</v>
      </c>
      <c r="F70" s="176"/>
      <c r="G70" s="174">
        <f t="shared" si="0"/>
        <v>2.5</v>
      </c>
      <c r="H70" s="176">
        <v>2.5</v>
      </c>
      <c r="I70" s="177"/>
      <c r="J70" s="174">
        <f t="shared" si="1"/>
        <v>2.5</v>
      </c>
      <c r="K70" s="177">
        <v>2.5</v>
      </c>
      <c r="L70" s="177"/>
      <c r="M70" s="10">
        <f t="shared" si="6"/>
        <v>100</v>
      </c>
      <c r="N70" s="10"/>
      <c r="O70" s="4" t="s">
        <v>164</v>
      </c>
      <c r="P70" s="30">
        <v>71</v>
      </c>
      <c r="Q70" s="71" t="s">
        <v>165</v>
      </c>
      <c r="R70" s="13"/>
    </row>
    <row r="71" spans="2:18" ht="96" x14ac:dyDescent="0.3">
      <c r="B71" s="8"/>
      <c r="C71" s="59" t="s">
        <v>166</v>
      </c>
      <c r="D71" s="174">
        <f t="shared" si="5"/>
        <v>0.4</v>
      </c>
      <c r="E71" s="176">
        <v>0.4</v>
      </c>
      <c r="F71" s="176"/>
      <c r="G71" s="174">
        <f t="shared" si="0"/>
        <v>0</v>
      </c>
      <c r="H71" s="177"/>
      <c r="I71" s="177"/>
      <c r="J71" s="174">
        <f t="shared" si="1"/>
        <v>0.4</v>
      </c>
      <c r="K71" s="177">
        <f>0.2+0.2</f>
        <v>0.4</v>
      </c>
      <c r="L71" s="177"/>
      <c r="M71" s="10">
        <f t="shared" si="6"/>
        <v>100</v>
      </c>
      <c r="N71" s="10"/>
      <c r="O71" s="4"/>
      <c r="P71" s="59" t="s">
        <v>167</v>
      </c>
      <c r="Q71" s="59" t="s">
        <v>142</v>
      </c>
      <c r="R71" s="13"/>
    </row>
    <row r="72" spans="2:18" ht="73.2" customHeight="1" x14ac:dyDescent="0.3">
      <c r="B72" s="8"/>
      <c r="C72" s="59" t="s">
        <v>168</v>
      </c>
      <c r="D72" s="174">
        <f t="shared" si="5"/>
        <v>7</v>
      </c>
      <c r="E72" s="176">
        <v>7</v>
      </c>
      <c r="F72" s="176"/>
      <c r="G72" s="174">
        <f t="shared" si="0"/>
        <v>0</v>
      </c>
      <c r="H72" s="177"/>
      <c r="I72" s="177"/>
      <c r="J72" s="174">
        <f t="shared" si="1"/>
        <v>3.5</v>
      </c>
      <c r="K72" s="177">
        <v>3.5</v>
      </c>
      <c r="L72" s="177"/>
      <c r="M72" s="10">
        <f t="shared" si="6"/>
        <v>49.999999999999993</v>
      </c>
      <c r="N72" s="10"/>
      <c r="O72" s="4"/>
      <c r="P72" s="59" t="s">
        <v>169</v>
      </c>
      <c r="Q72" s="59" t="s">
        <v>130</v>
      </c>
      <c r="R72" s="13"/>
    </row>
    <row r="73" spans="2:18" ht="48" x14ac:dyDescent="0.3">
      <c r="B73" s="8"/>
      <c r="C73" s="44" t="s">
        <v>92</v>
      </c>
      <c r="D73" s="174">
        <f t="shared" si="5"/>
        <v>100</v>
      </c>
      <c r="E73" s="176">
        <v>100</v>
      </c>
      <c r="F73" s="176"/>
      <c r="G73" s="174">
        <f t="shared" si="0"/>
        <v>112.777</v>
      </c>
      <c r="H73" s="176">
        <v>112.777</v>
      </c>
      <c r="I73" s="177"/>
      <c r="J73" s="174">
        <f t="shared" si="1"/>
        <v>0</v>
      </c>
      <c r="K73" s="177"/>
      <c r="L73" s="177"/>
      <c r="M73" s="10">
        <f t="shared" si="6"/>
        <v>0</v>
      </c>
      <c r="N73" s="10"/>
      <c r="O73" s="6" t="s">
        <v>170</v>
      </c>
      <c r="P73" s="45">
        <v>46</v>
      </c>
      <c r="Q73" s="33" t="s">
        <v>171</v>
      </c>
      <c r="R73" s="13"/>
    </row>
    <row r="74" spans="2:18" ht="84" x14ac:dyDescent="0.3">
      <c r="B74" s="8"/>
      <c r="C74" s="44" t="s">
        <v>621</v>
      </c>
      <c r="D74" s="174">
        <f t="shared" si="5"/>
        <v>0.111</v>
      </c>
      <c r="E74" s="176">
        <v>0.111</v>
      </c>
      <c r="F74" s="176"/>
      <c r="G74" s="174">
        <f t="shared" si="0"/>
        <v>0.111</v>
      </c>
      <c r="H74" s="176">
        <v>0.111</v>
      </c>
      <c r="I74" s="177"/>
      <c r="J74" s="174">
        <f t="shared" si="1"/>
        <v>0</v>
      </c>
      <c r="K74" s="177"/>
      <c r="L74" s="177"/>
      <c r="M74" s="10">
        <f t="shared" si="6"/>
        <v>0</v>
      </c>
      <c r="N74" s="10"/>
      <c r="O74" s="6" t="s">
        <v>172</v>
      </c>
      <c r="P74" s="45">
        <v>71</v>
      </c>
      <c r="Q74" s="38" t="s">
        <v>165</v>
      </c>
      <c r="R74" s="13"/>
    </row>
    <row r="75" spans="2:18" ht="84" x14ac:dyDescent="0.3">
      <c r="B75" s="8"/>
      <c r="C75" s="44" t="s">
        <v>599</v>
      </c>
      <c r="D75" s="174">
        <f t="shared" si="5"/>
        <v>40</v>
      </c>
      <c r="E75" s="176">
        <v>40</v>
      </c>
      <c r="F75" s="176"/>
      <c r="G75" s="174">
        <f t="shared" si="0"/>
        <v>79.781000000000006</v>
      </c>
      <c r="H75" s="176">
        <v>79.781000000000006</v>
      </c>
      <c r="I75" s="177"/>
      <c r="J75" s="174">
        <f t="shared" si="1"/>
        <v>10.910780000000001</v>
      </c>
      <c r="K75" s="177">
        <v>10.910780000000001</v>
      </c>
      <c r="L75" s="177"/>
      <c r="M75" s="10">
        <f t="shared" si="6"/>
        <v>27.276949999999999</v>
      </c>
      <c r="N75" s="10"/>
      <c r="O75" s="4" t="s">
        <v>173</v>
      </c>
      <c r="P75" s="30" t="s">
        <v>39</v>
      </c>
      <c r="Q75" s="32" t="s">
        <v>102</v>
      </c>
      <c r="R75" s="13"/>
    </row>
    <row r="76" spans="2:18" ht="72" x14ac:dyDescent="0.3">
      <c r="B76" s="8"/>
      <c r="C76" s="59" t="s">
        <v>622</v>
      </c>
      <c r="D76" s="174">
        <f t="shared" si="5"/>
        <v>257.28754000000004</v>
      </c>
      <c r="E76" s="177">
        <v>10.082179999999999</v>
      </c>
      <c r="F76" s="177">
        <v>247.20536000000001</v>
      </c>
      <c r="G76" s="174">
        <f t="shared" ref="G76" si="7">H76+I76</f>
        <v>569.98091999999997</v>
      </c>
      <c r="H76" s="177">
        <v>489.44261999999998</v>
      </c>
      <c r="I76" s="177">
        <v>80.538300000000007</v>
      </c>
      <c r="J76" s="174">
        <f t="shared" ref="J76" si="8">K76+L76</f>
        <v>70.191119999999998</v>
      </c>
      <c r="K76" s="177"/>
      <c r="L76" s="177">
        <v>70.191119999999998</v>
      </c>
      <c r="M76" s="10">
        <f t="shared" si="6"/>
        <v>27.281196749753207</v>
      </c>
      <c r="N76" s="10">
        <v>100</v>
      </c>
      <c r="O76" s="124" t="s">
        <v>624</v>
      </c>
      <c r="P76" s="30">
        <v>98</v>
      </c>
      <c r="Q76" s="36" t="s">
        <v>480</v>
      </c>
      <c r="R76" s="13" t="s">
        <v>623</v>
      </c>
    </row>
    <row r="77" spans="2:18" ht="36" x14ac:dyDescent="0.3">
      <c r="B77" s="8"/>
      <c r="C77" s="59" t="s">
        <v>481</v>
      </c>
      <c r="D77" s="174">
        <f t="shared" ref="D77:D78" si="9">E77+F77</f>
        <v>5.8</v>
      </c>
      <c r="E77" s="177">
        <v>5.8</v>
      </c>
      <c r="F77" s="177"/>
      <c r="G77" s="174">
        <f t="shared" ref="G77:G78" si="10">H77+I77</f>
        <v>5.8</v>
      </c>
      <c r="H77" s="177">
        <v>5.8</v>
      </c>
      <c r="I77" s="177"/>
      <c r="J77" s="174">
        <f t="shared" ref="J77:J78" si="11">K77+L77</f>
        <v>5.8</v>
      </c>
      <c r="K77" s="177">
        <v>5.8</v>
      </c>
      <c r="L77" s="177"/>
      <c r="M77" s="10">
        <f t="shared" si="6"/>
        <v>100</v>
      </c>
      <c r="N77" s="10"/>
      <c r="O77" s="131" t="s">
        <v>596</v>
      </c>
      <c r="P77" s="138" t="s">
        <v>484</v>
      </c>
      <c r="Q77" s="140" t="s">
        <v>483</v>
      </c>
      <c r="R77" s="13"/>
    </row>
    <row r="78" spans="2:18" ht="36" x14ac:dyDescent="0.3">
      <c r="B78" s="8"/>
      <c r="C78" s="59" t="s">
        <v>482</v>
      </c>
      <c r="D78" s="174">
        <f t="shared" si="9"/>
        <v>2.835</v>
      </c>
      <c r="E78" s="177">
        <v>2.835</v>
      </c>
      <c r="F78" s="177"/>
      <c r="G78" s="174">
        <f t="shared" si="10"/>
        <v>2.835</v>
      </c>
      <c r="H78" s="177">
        <v>2.835</v>
      </c>
      <c r="I78" s="177"/>
      <c r="J78" s="174">
        <f t="shared" si="11"/>
        <v>2.835</v>
      </c>
      <c r="K78" s="177">
        <v>2.835</v>
      </c>
      <c r="L78" s="177"/>
      <c r="M78" s="10">
        <f t="shared" si="6"/>
        <v>100</v>
      </c>
      <c r="N78" s="10"/>
      <c r="O78" s="132"/>
      <c r="P78" s="139"/>
      <c r="Q78" s="141"/>
      <c r="R78" s="13"/>
    </row>
    <row r="79" spans="2:18" ht="81" customHeight="1" x14ac:dyDescent="0.3">
      <c r="B79" s="8"/>
      <c r="C79" s="59" t="s">
        <v>485</v>
      </c>
      <c r="D79" s="174">
        <f t="shared" ref="D79:D81" si="12">E79+F79</f>
        <v>1.2</v>
      </c>
      <c r="E79" s="177">
        <v>1.2</v>
      </c>
      <c r="F79" s="177"/>
      <c r="G79" s="174">
        <f t="shared" ref="G79:G81" si="13">H79+I79</f>
        <v>0</v>
      </c>
      <c r="H79" s="177"/>
      <c r="I79" s="177"/>
      <c r="J79" s="174">
        <f t="shared" ref="J79:J81" si="14">K79+L79</f>
        <v>0.6</v>
      </c>
      <c r="K79" s="177">
        <v>0.6</v>
      </c>
      <c r="L79" s="177"/>
      <c r="M79" s="10">
        <f t="shared" si="6"/>
        <v>50</v>
      </c>
      <c r="N79" s="10"/>
      <c r="O79" s="4"/>
      <c r="P79" s="59" t="s">
        <v>486</v>
      </c>
      <c r="Q79" s="59" t="s">
        <v>130</v>
      </c>
      <c r="R79" s="13"/>
    </row>
    <row r="80" spans="2:18" ht="108" x14ac:dyDescent="0.3">
      <c r="B80" s="8"/>
      <c r="C80" s="59" t="s">
        <v>487</v>
      </c>
      <c r="D80" s="174">
        <f t="shared" si="12"/>
        <v>96.055999999999997</v>
      </c>
      <c r="E80" s="177">
        <v>96.055999999999997</v>
      </c>
      <c r="F80" s="177"/>
      <c r="G80" s="174">
        <f t="shared" si="13"/>
        <v>96.055999999999997</v>
      </c>
      <c r="H80" s="177">
        <v>96.055999999999997</v>
      </c>
      <c r="I80" s="177"/>
      <c r="J80" s="174">
        <f t="shared" si="14"/>
        <v>95.560400000000001</v>
      </c>
      <c r="K80" s="177">
        <f>35.0144+60.546</f>
        <v>95.560400000000001</v>
      </c>
      <c r="L80" s="177"/>
      <c r="M80" s="10">
        <f t="shared" si="6"/>
        <v>99.484050970267347</v>
      </c>
      <c r="N80" s="10"/>
      <c r="O80" s="4" t="s">
        <v>595</v>
      </c>
      <c r="P80" s="30">
        <v>89</v>
      </c>
      <c r="Q80" s="36" t="s">
        <v>594</v>
      </c>
      <c r="R80" s="13"/>
    </row>
    <row r="81" spans="2:18" ht="48" x14ac:dyDescent="0.3">
      <c r="B81" s="8"/>
      <c r="C81" s="59" t="s">
        <v>498</v>
      </c>
      <c r="D81" s="174">
        <f t="shared" si="12"/>
        <v>46.040559999999999</v>
      </c>
      <c r="E81" s="177">
        <v>46.040559999999999</v>
      </c>
      <c r="F81" s="177"/>
      <c r="G81" s="174">
        <f t="shared" si="13"/>
        <v>294.99799999999999</v>
      </c>
      <c r="H81" s="177">
        <v>294.99799999999999</v>
      </c>
      <c r="I81" s="177"/>
      <c r="J81" s="174">
        <f t="shared" si="14"/>
        <v>19.604330000000001</v>
      </c>
      <c r="K81" s="177">
        <v>19.604330000000001</v>
      </c>
      <c r="L81" s="177"/>
      <c r="M81" s="10">
        <f t="shared" si="6"/>
        <v>42.580563746401005</v>
      </c>
      <c r="N81" s="10">
        <v>100</v>
      </c>
      <c r="O81" s="124" t="s">
        <v>625</v>
      </c>
      <c r="P81" s="30">
        <v>128</v>
      </c>
      <c r="Q81" s="36" t="s">
        <v>162</v>
      </c>
      <c r="R81" s="13" t="s">
        <v>602</v>
      </c>
    </row>
    <row r="82" spans="2:18" ht="96" x14ac:dyDescent="0.3">
      <c r="B82" s="8"/>
      <c r="C82" s="59" t="s">
        <v>626</v>
      </c>
      <c r="D82" s="174">
        <f t="shared" ref="D82" si="15">E82+F82</f>
        <v>70</v>
      </c>
      <c r="E82" s="177">
        <v>70</v>
      </c>
      <c r="F82" s="177"/>
      <c r="G82" s="174">
        <f t="shared" ref="G82" si="16">H82+I82</f>
        <v>146.9</v>
      </c>
      <c r="H82" s="177">
        <v>146.9</v>
      </c>
      <c r="I82" s="177"/>
      <c r="J82" s="174">
        <f t="shared" ref="J82" si="17">K82+L82</f>
        <v>63.628830000000001</v>
      </c>
      <c r="K82" s="177">
        <v>63.628830000000001</v>
      </c>
      <c r="L82" s="177"/>
      <c r="M82" s="10">
        <f t="shared" si="6"/>
        <v>90.898328571428578</v>
      </c>
      <c r="N82" s="10">
        <v>100</v>
      </c>
      <c r="O82" s="4" t="s">
        <v>593</v>
      </c>
      <c r="P82" s="30">
        <v>86</v>
      </c>
      <c r="Q82" s="36" t="s">
        <v>134</v>
      </c>
      <c r="R82" s="13"/>
    </row>
    <row r="83" spans="2:18" ht="60" x14ac:dyDescent="0.3">
      <c r="B83" s="8"/>
      <c r="C83" s="59" t="s">
        <v>627</v>
      </c>
      <c r="D83" s="174">
        <f t="shared" ref="D83:D91" si="18">E83+F83</f>
        <v>1</v>
      </c>
      <c r="E83" s="177">
        <v>1</v>
      </c>
      <c r="F83" s="177"/>
      <c r="G83" s="174">
        <f t="shared" ref="G83:G90" si="19">H83+I83</f>
        <v>1</v>
      </c>
      <c r="H83" s="177">
        <v>1</v>
      </c>
      <c r="I83" s="177"/>
      <c r="J83" s="174">
        <f t="shared" ref="J83:J90" si="20">K83+L83</f>
        <v>1</v>
      </c>
      <c r="K83" s="177">
        <v>1</v>
      </c>
      <c r="L83" s="177"/>
      <c r="M83" s="10">
        <f t="shared" si="6"/>
        <v>100</v>
      </c>
      <c r="N83" s="10"/>
      <c r="O83" s="4" t="s">
        <v>592</v>
      </c>
      <c r="P83" s="30">
        <v>114</v>
      </c>
      <c r="Q83" s="36" t="s">
        <v>499</v>
      </c>
      <c r="R83" s="13"/>
    </row>
    <row r="84" spans="2:18" ht="60" x14ac:dyDescent="0.3">
      <c r="B84" s="8"/>
      <c r="C84" s="59" t="s">
        <v>628</v>
      </c>
      <c r="D84" s="174">
        <f t="shared" si="18"/>
        <v>21.143999999999998</v>
      </c>
      <c r="E84" s="177">
        <v>21.143999999999998</v>
      </c>
      <c r="F84" s="177"/>
      <c r="G84" s="174">
        <f t="shared" si="19"/>
        <v>21.143999999999998</v>
      </c>
      <c r="H84" s="177">
        <v>21.143999999999998</v>
      </c>
      <c r="I84" s="177"/>
      <c r="J84" s="174">
        <f t="shared" si="20"/>
        <v>15.993</v>
      </c>
      <c r="K84" s="177">
        <v>15.993</v>
      </c>
      <c r="L84" s="177"/>
      <c r="M84" s="10">
        <f t="shared" si="6"/>
        <v>75.638479001135082</v>
      </c>
      <c r="N84" s="10"/>
      <c r="O84" s="4" t="s">
        <v>591</v>
      </c>
      <c r="P84" s="30" t="s">
        <v>516</v>
      </c>
      <c r="Q84" s="36" t="s">
        <v>517</v>
      </c>
      <c r="R84" s="13"/>
    </row>
    <row r="85" spans="2:18" ht="84" x14ac:dyDescent="0.3">
      <c r="B85" s="8"/>
      <c r="C85" s="108" t="s">
        <v>629</v>
      </c>
      <c r="D85" s="174">
        <f t="shared" si="18"/>
        <v>82.595280000000002</v>
      </c>
      <c r="E85" s="177">
        <v>82.595280000000002</v>
      </c>
      <c r="F85" s="177"/>
      <c r="G85" s="174">
        <f t="shared" si="19"/>
        <v>82.595280000000002</v>
      </c>
      <c r="H85" s="177">
        <v>82.595280000000002</v>
      </c>
      <c r="I85" s="177"/>
      <c r="J85" s="174">
        <f t="shared" si="20"/>
        <v>82.595280000000002</v>
      </c>
      <c r="K85" s="177">
        <v>82.595280000000002</v>
      </c>
      <c r="L85" s="177"/>
      <c r="M85" s="10">
        <f t="shared" si="6"/>
        <v>100</v>
      </c>
      <c r="N85" s="10"/>
      <c r="O85" s="4" t="s">
        <v>590</v>
      </c>
      <c r="P85" s="30">
        <v>105</v>
      </c>
      <c r="Q85" s="36" t="s">
        <v>518</v>
      </c>
      <c r="R85" s="13"/>
    </row>
    <row r="86" spans="2:18" ht="72" x14ac:dyDescent="0.3">
      <c r="B86" s="8"/>
      <c r="C86" s="111" t="s">
        <v>630</v>
      </c>
      <c r="D86" s="174">
        <f t="shared" si="18"/>
        <v>4.22</v>
      </c>
      <c r="E86" s="177">
        <v>4.22</v>
      </c>
      <c r="F86" s="177"/>
      <c r="G86" s="174">
        <f t="shared" si="19"/>
        <v>4.22</v>
      </c>
      <c r="H86" s="177">
        <v>4.22</v>
      </c>
      <c r="I86" s="177"/>
      <c r="J86" s="174">
        <f t="shared" si="20"/>
        <v>0</v>
      </c>
      <c r="K86" s="177"/>
      <c r="L86" s="177"/>
      <c r="M86" s="10">
        <f t="shared" si="6"/>
        <v>0</v>
      </c>
      <c r="N86" s="10"/>
      <c r="O86" s="4" t="s">
        <v>573</v>
      </c>
      <c r="P86" s="30">
        <v>109</v>
      </c>
      <c r="Q86" s="36" t="s">
        <v>40</v>
      </c>
      <c r="R86" s="13"/>
    </row>
    <row r="87" spans="2:18" ht="84" x14ac:dyDescent="0.3">
      <c r="B87" s="8"/>
      <c r="C87" s="108" t="s">
        <v>631</v>
      </c>
      <c r="D87" s="174">
        <f t="shared" si="18"/>
        <v>105</v>
      </c>
      <c r="E87" s="177">
        <v>5</v>
      </c>
      <c r="F87" s="177">
        <v>100</v>
      </c>
      <c r="G87" s="174">
        <f t="shared" si="19"/>
        <v>258.37074000000001</v>
      </c>
      <c r="H87" s="177">
        <v>12.91858</v>
      </c>
      <c r="I87" s="177">
        <v>245.45215999999999</v>
      </c>
      <c r="J87" s="174">
        <f t="shared" si="20"/>
        <v>0</v>
      </c>
      <c r="K87" s="177"/>
      <c r="L87" s="177"/>
      <c r="M87" s="10">
        <f t="shared" si="6"/>
        <v>0</v>
      </c>
      <c r="N87" s="10">
        <v>7</v>
      </c>
      <c r="O87" s="4" t="s">
        <v>589</v>
      </c>
      <c r="P87" s="30">
        <v>93</v>
      </c>
      <c r="Q87" s="109" t="s">
        <v>519</v>
      </c>
      <c r="R87" s="13"/>
    </row>
    <row r="88" spans="2:18" ht="72" x14ac:dyDescent="0.3">
      <c r="B88" s="8"/>
      <c r="C88" s="108" t="s">
        <v>632</v>
      </c>
      <c r="D88" s="174">
        <f t="shared" si="18"/>
        <v>210.08976999999999</v>
      </c>
      <c r="E88" s="177">
        <v>210.08976999999999</v>
      </c>
      <c r="F88" s="177"/>
      <c r="G88" s="174">
        <f t="shared" si="19"/>
        <v>422.73122999999998</v>
      </c>
      <c r="H88" s="177">
        <v>422.73122999999998</v>
      </c>
      <c r="I88" s="177"/>
      <c r="J88" s="174">
        <f t="shared" si="20"/>
        <v>0</v>
      </c>
      <c r="K88" s="177"/>
      <c r="L88" s="177"/>
      <c r="M88" s="10">
        <f t="shared" si="6"/>
        <v>0</v>
      </c>
      <c r="N88" s="10"/>
      <c r="O88" s="4" t="s">
        <v>588</v>
      </c>
      <c r="P88" s="30">
        <v>101</v>
      </c>
      <c r="Q88" s="36" t="s">
        <v>162</v>
      </c>
      <c r="R88" s="13"/>
    </row>
    <row r="89" spans="2:18" ht="108" x14ac:dyDescent="0.3">
      <c r="B89" s="8"/>
      <c r="C89" s="91" t="s">
        <v>633</v>
      </c>
      <c r="D89" s="174">
        <f t="shared" si="18"/>
        <v>137.64286999999999</v>
      </c>
      <c r="E89" s="177">
        <v>137.64286999999999</v>
      </c>
      <c r="F89" s="177"/>
      <c r="G89" s="174">
        <f t="shared" si="19"/>
        <v>137.64286999999999</v>
      </c>
      <c r="H89" s="177">
        <v>137.64286999999999</v>
      </c>
      <c r="I89" s="177"/>
      <c r="J89" s="174">
        <f t="shared" si="20"/>
        <v>0</v>
      </c>
      <c r="K89" s="177"/>
      <c r="L89" s="177"/>
      <c r="M89" s="10">
        <f t="shared" si="6"/>
        <v>0</v>
      </c>
      <c r="N89" s="10"/>
      <c r="O89" s="124" t="s">
        <v>634</v>
      </c>
      <c r="P89" s="30">
        <v>29</v>
      </c>
      <c r="Q89" s="36" t="s">
        <v>40</v>
      </c>
      <c r="R89" s="13"/>
    </row>
    <row r="90" spans="2:18" ht="12.6" customHeight="1" x14ac:dyDescent="0.3">
      <c r="B90" s="8"/>
      <c r="C90" s="108" t="s">
        <v>600</v>
      </c>
      <c r="D90" s="174">
        <f t="shared" si="18"/>
        <v>151.15299999999999</v>
      </c>
      <c r="E90" s="177"/>
      <c r="F90" s="177">
        <v>151.15299999999999</v>
      </c>
      <c r="G90" s="174">
        <f t="shared" si="19"/>
        <v>0</v>
      </c>
      <c r="H90" s="177"/>
      <c r="I90" s="177"/>
      <c r="J90" s="174">
        <f t="shared" si="20"/>
        <v>0</v>
      </c>
      <c r="K90" s="177"/>
      <c r="L90" s="177"/>
      <c r="M90" s="10">
        <f t="shared" si="6"/>
        <v>0</v>
      </c>
      <c r="N90" s="10"/>
      <c r="O90" s="4"/>
      <c r="P90" s="30"/>
      <c r="Q90" s="36"/>
      <c r="R90" s="13"/>
    </row>
    <row r="91" spans="2:18" x14ac:dyDescent="0.3">
      <c r="B91" s="8"/>
      <c r="C91" s="99" t="s">
        <v>174</v>
      </c>
      <c r="D91" s="174">
        <f t="shared" si="18"/>
        <v>0.48773</v>
      </c>
      <c r="E91" s="176"/>
      <c r="F91" s="176">
        <v>0.48773</v>
      </c>
      <c r="G91" s="174"/>
      <c r="H91" s="176"/>
      <c r="I91" s="177"/>
      <c r="J91" s="174"/>
      <c r="K91" s="177"/>
      <c r="L91" s="177"/>
      <c r="M91" s="10">
        <f t="shared" si="6"/>
        <v>0</v>
      </c>
      <c r="N91" s="10"/>
      <c r="O91" s="4"/>
      <c r="P91" s="30"/>
      <c r="Q91" s="36"/>
      <c r="R91" s="13"/>
    </row>
    <row r="92" spans="2:18" x14ac:dyDescent="0.3">
      <c r="B92" s="8"/>
      <c r="C92" s="99" t="s">
        <v>175</v>
      </c>
      <c r="D92" s="174">
        <f t="shared" ref="D92:D95" si="21">E92+F92</f>
        <v>0.78917000000000004</v>
      </c>
      <c r="E92" s="176"/>
      <c r="F92" s="176">
        <v>0.78917000000000004</v>
      </c>
      <c r="G92" s="174">
        <f t="shared" ref="G92:G93" si="22">H92+I92</f>
        <v>0</v>
      </c>
      <c r="H92" s="177"/>
      <c r="I92" s="177"/>
      <c r="J92" s="174">
        <f t="shared" ref="J92:J93" si="23">K92+L92</f>
        <v>0</v>
      </c>
      <c r="K92" s="177"/>
      <c r="L92" s="177"/>
      <c r="M92" s="10">
        <f t="shared" si="6"/>
        <v>0</v>
      </c>
      <c r="N92" s="10"/>
      <c r="O92" s="4"/>
      <c r="P92" s="30"/>
      <c r="Q92" s="36"/>
      <c r="R92" s="13"/>
    </row>
    <row r="93" spans="2:18" ht="24" x14ac:dyDescent="0.3">
      <c r="B93" s="8"/>
      <c r="C93" s="59" t="s">
        <v>176</v>
      </c>
      <c r="D93" s="174">
        <f t="shared" si="21"/>
        <v>2.2599999999999999E-3</v>
      </c>
      <c r="E93" s="177"/>
      <c r="F93" s="177">
        <v>2.2599999999999999E-3</v>
      </c>
      <c r="G93" s="174">
        <f t="shared" si="22"/>
        <v>0</v>
      </c>
      <c r="H93" s="177"/>
      <c r="I93" s="177"/>
      <c r="J93" s="174">
        <f t="shared" si="23"/>
        <v>0</v>
      </c>
      <c r="K93" s="177"/>
      <c r="L93" s="177"/>
      <c r="M93" s="10">
        <f t="shared" si="6"/>
        <v>0</v>
      </c>
      <c r="N93" s="10"/>
      <c r="O93" s="4"/>
      <c r="P93" s="24"/>
      <c r="Q93" s="36"/>
      <c r="R93" s="13"/>
    </row>
    <row r="94" spans="2:18" x14ac:dyDescent="0.3">
      <c r="B94" s="8"/>
      <c r="C94" s="59" t="s">
        <v>601</v>
      </c>
      <c r="D94" s="174">
        <f t="shared" si="21"/>
        <v>9.3999999999999997E-4</v>
      </c>
      <c r="E94" s="177"/>
      <c r="F94" s="177">
        <v>9.3999999999999997E-4</v>
      </c>
      <c r="G94" s="174"/>
      <c r="H94" s="177"/>
      <c r="I94" s="177"/>
      <c r="J94" s="174"/>
      <c r="K94" s="177"/>
      <c r="L94" s="177"/>
      <c r="M94" s="10">
        <f t="shared" si="6"/>
        <v>0</v>
      </c>
      <c r="N94" s="10"/>
      <c r="O94" s="4"/>
      <c r="P94" s="24"/>
      <c r="Q94" s="36"/>
      <c r="R94" s="13"/>
    </row>
    <row r="95" spans="2:18" x14ac:dyDescent="0.3">
      <c r="B95" s="8"/>
      <c r="C95" s="59"/>
      <c r="D95" s="174">
        <f t="shared" si="21"/>
        <v>56.054679999999998</v>
      </c>
      <c r="E95" s="177">
        <v>56.054679999999998</v>
      </c>
      <c r="F95" s="177"/>
      <c r="G95" s="174"/>
      <c r="H95" s="177"/>
      <c r="I95" s="177"/>
      <c r="J95" s="174"/>
      <c r="K95" s="177"/>
      <c r="L95" s="177"/>
      <c r="M95" s="10">
        <f t="shared" si="6"/>
        <v>0</v>
      </c>
      <c r="N95" s="10"/>
      <c r="O95" s="4"/>
      <c r="P95" s="24"/>
      <c r="Q95" s="36"/>
      <c r="R95" s="13"/>
    </row>
    <row r="96" spans="2:18" x14ac:dyDescent="0.3">
      <c r="B96" s="8"/>
      <c r="C96" s="39" t="s">
        <v>41</v>
      </c>
      <c r="D96" s="173">
        <f t="shared" si="5"/>
        <v>3809.1152299999999</v>
      </c>
      <c r="E96" s="186">
        <f>SUM(E55:E95)</f>
        <v>3109.1227199999998</v>
      </c>
      <c r="F96" s="186">
        <f>SUM(F55:F94)</f>
        <v>699.99251000000015</v>
      </c>
      <c r="G96" s="173">
        <f t="shared" si="0"/>
        <v>3749.8835399999998</v>
      </c>
      <c r="H96" s="186">
        <f>SUM(H55:H75)</f>
        <v>2519.1834799999997</v>
      </c>
      <c r="I96" s="186">
        <f>SUM(I55:I75)</f>
        <v>1230.7000600000001</v>
      </c>
      <c r="J96" s="173">
        <f t="shared" si="1"/>
        <v>2573.3482599999998</v>
      </c>
      <c r="K96" s="186">
        <f>SUM(K55:K94)</f>
        <v>2302.8030899999999</v>
      </c>
      <c r="L96" s="186">
        <f>SUM(L55:L94)</f>
        <v>270.54516999999998</v>
      </c>
      <c r="M96" s="75">
        <f t="shared" si="6"/>
        <v>67.55763752518456</v>
      </c>
      <c r="N96" s="10"/>
      <c r="O96" s="8"/>
      <c r="P96" s="11"/>
      <c r="Q96" s="12"/>
      <c r="R96" s="13"/>
    </row>
    <row r="97" spans="2:18" ht="24" x14ac:dyDescent="0.3">
      <c r="B97" s="21" t="s">
        <v>177</v>
      </c>
      <c r="C97" s="9" t="s">
        <v>178</v>
      </c>
      <c r="D97" s="173"/>
      <c r="E97" s="172"/>
      <c r="F97" s="172"/>
      <c r="G97" s="173"/>
      <c r="H97" s="174"/>
      <c r="I97" s="175"/>
      <c r="J97" s="173"/>
      <c r="K97" s="174"/>
      <c r="L97" s="174"/>
      <c r="M97" s="10"/>
      <c r="N97" s="10"/>
      <c r="O97" s="23"/>
      <c r="P97" s="17"/>
      <c r="Q97" s="23"/>
      <c r="R97" s="13"/>
    </row>
    <row r="98" spans="2:18" ht="84" x14ac:dyDescent="0.3">
      <c r="B98" s="8"/>
      <c r="C98" s="14" t="s">
        <v>179</v>
      </c>
      <c r="D98" s="174">
        <f t="shared" si="5"/>
        <v>791.93668000000002</v>
      </c>
      <c r="E98" s="174">
        <v>791.93668000000002</v>
      </c>
      <c r="F98" s="177"/>
      <c r="G98" s="174">
        <f t="shared" si="0"/>
        <v>968.59500000000003</v>
      </c>
      <c r="H98" s="174">
        <v>968.59500000000003</v>
      </c>
      <c r="I98" s="177"/>
      <c r="J98" s="174">
        <f t="shared" si="1"/>
        <v>791.88451999999984</v>
      </c>
      <c r="K98" s="174">
        <f>111.31521+114.01601+99.76363+101.06989+79.79742+77.44963+0.52483+66.44195+66.98183+74.52412</f>
        <v>791.88451999999984</v>
      </c>
      <c r="L98" s="177"/>
      <c r="M98" s="10">
        <f t="shared" si="6"/>
        <v>99.993413614835944</v>
      </c>
      <c r="N98" s="10"/>
      <c r="O98" s="4"/>
      <c r="P98" s="15" t="s">
        <v>180</v>
      </c>
      <c r="Q98" s="15" t="s">
        <v>117</v>
      </c>
      <c r="R98" s="13"/>
    </row>
    <row r="99" spans="2:18" ht="72" x14ac:dyDescent="0.3">
      <c r="B99" s="8"/>
      <c r="C99" s="14" t="s">
        <v>181</v>
      </c>
      <c r="D99" s="174">
        <f t="shared" si="5"/>
        <v>418.91</v>
      </c>
      <c r="E99" s="174">
        <v>418.91</v>
      </c>
      <c r="F99" s="177"/>
      <c r="G99" s="174">
        <f t="shared" si="0"/>
        <v>489.995</v>
      </c>
      <c r="H99" s="174">
        <v>489.995</v>
      </c>
      <c r="I99" s="177"/>
      <c r="J99" s="174">
        <f t="shared" si="1"/>
        <v>364.18464999999998</v>
      </c>
      <c r="K99" s="174">
        <f>42.4355+236.69965+42.1575+42.892</f>
        <v>364.18464999999998</v>
      </c>
      <c r="L99" s="177"/>
      <c r="M99" s="10">
        <f t="shared" si="6"/>
        <v>86.936251223413137</v>
      </c>
      <c r="N99" s="10"/>
      <c r="O99" s="4" t="s">
        <v>182</v>
      </c>
      <c r="P99" s="4" t="s">
        <v>183</v>
      </c>
      <c r="Q99" s="15" t="s">
        <v>184</v>
      </c>
      <c r="R99" s="13"/>
    </row>
    <row r="100" spans="2:18" x14ac:dyDescent="0.3">
      <c r="B100" s="8"/>
      <c r="C100" s="46" t="s">
        <v>41</v>
      </c>
      <c r="D100" s="173">
        <f t="shared" si="5"/>
        <v>1210.8466800000001</v>
      </c>
      <c r="E100" s="187">
        <f>SUM(E98:E99)</f>
        <v>1210.8466800000001</v>
      </c>
      <c r="F100" s="187">
        <f>SUM(F98:F99)</f>
        <v>0</v>
      </c>
      <c r="G100" s="173">
        <f t="shared" si="0"/>
        <v>1458.5900000000001</v>
      </c>
      <c r="H100" s="187">
        <f>SUM(H98:H99)</f>
        <v>1458.5900000000001</v>
      </c>
      <c r="I100" s="187">
        <f>SUM(I98:I99)</f>
        <v>0</v>
      </c>
      <c r="J100" s="173">
        <f t="shared" si="1"/>
        <v>1156.0691699999998</v>
      </c>
      <c r="K100" s="187">
        <f>SUM(K98:K99)</f>
        <v>1156.0691699999998</v>
      </c>
      <c r="L100" s="187">
        <f>SUM(L98:L99)</f>
        <v>0</v>
      </c>
      <c r="M100" s="75">
        <f t="shared" si="6"/>
        <v>95.476098592432834</v>
      </c>
      <c r="N100" s="10"/>
      <c r="O100" s="8"/>
      <c r="P100" s="11"/>
      <c r="Q100" s="12"/>
      <c r="R100" s="13"/>
    </row>
    <row r="101" spans="2:18" ht="24" x14ac:dyDescent="0.3">
      <c r="B101" s="21" t="s">
        <v>185</v>
      </c>
      <c r="C101" s="9" t="s">
        <v>186</v>
      </c>
      <c r="D101" s="173"/>
      <c r="E101" s="172"/>
      <c r="F101" s="172"/>
      <c r="G101" s="173"/>
      <c r="H101" s="174"/>
      <c r="I101" s="175"/>
      <c r="J101" s="173"/>
      <c r="K101" s="174"/>
      <c r="L101" s="174"/>
      <c r="M101" s="10"/>
      <c r="N101" s="10"/>
      <c r="O101" s="23"/>
      <c r="P101" s="17"/>
      <c r="Q101" s="23"/>
      <c r="R101" s="13"/>
    </row>
    <row r="102" spans="2:18" ht="60" x14ac:dyDescent="0.3">
      <c r="B102" s="8"/>
      <c r="C102" s="14" t="s">
        <v>187</v>
      </c>
      <c r="D102" s="174">
        <f t="shared" si="5"/>
        <v>0.57999999999999996</v>
      </c>
      <c r="E102" s="174">
        <v>0.57999999999999996</v>
      </c>
      <c r="F102" s="177"/>
      <c r="G102" s="174">
        <f t="shared" si="0"/>
        <v>0.57999999999999996</v>
      </c>
      <c r="H102" s="174">
        <v>0.57999999999999996</v>
      </c>
      <c r="I102" s="177"/>
      <c r="J102" s="174">
        <f t="shared" si="1"/>
        <v>0.57999999999999996</v>
      </c>
      <c r="K102" s="174">
        <v>0.57999999999999996</v>
      </c>
      <c r="L102" s="177"/>
      <c r="M102" s="10">
        <f t="shared" si="6"/>
        <v>100</v>
      </c>
      <c r="N102" s="10"/>
      <c r="O102" s="4" t="s">
        <v>188</v>
      </c>
      <c r="P102" s="41" t="s">
        <v>189</v>
      </c>
      <c r="Q102" s="36" t="s">
        <v>190</v>
      </c>
      <c r="R102" s="23"/>
    </row>
    <row r="103" spans="2:18" ht="48" x14ac:dyDescent="0.3">
      <c r="B103" s="8"/>
      <c r="C103" s="59" t="s">
        <v>191</v>
      </c>
      <c r="D103" s="174">
        <f t="shared" si="5"/>
        <v>78.587959999999995</v>
      </c>
      <c r="E103" s="174">
        <v>78.587959999999995</v>
      </c>
      <c r="F103" s="177"/>
      <c r="G103" s="174">
        <f t="shared" si="0"/>
        <v>78.587959999999995</v>
      </c>
      <c r="H103" s="174">
        <v>78.587959999999995</v>
      </c>
      <c r="I103" s="177"/>
      <c r="J103" s="174">
        <f t="shared" si="1"/>
        <v>73.395349999999993</v>
      </c>
      <c r="K103" s="174">
        <v>73.395349999999993</v>
      </c>
      <c r="L103" s="177"/>
      <c r="M103" s="10">
        <f t="shared" si="6"/>
        <v>93.392613830413723</v>
      </c>
      <c r="N103" s="10">
        <v>100</v>
      </c>
      <c r="O103" s="4" t="s">
        <v>192</v>
      </c>
      <c r="P103" s="47">
        <v>127</v>
      </c>
      <c r="Q103" s="36" t="s">
        <v>193</v>
      </c>
      <c r="R103" s="23"/>
    </row>
    <row r="104" spans="2:18" ht="48" x14ac:dyDescent="0.3">
      <c r="B104" s="8"/>
      <c r="C104" s="44" t="s">
        <v>635</v>
      </c>
      <c r="D104" s="174">
        <f t="shared" si="5"/>
        <v>5</v>
      </c>
      <c r="E104" s="174">
        <v>5</v>
      </c>
      <c r="F104" s="177"/>
      <c r="G104" s="174">
        <f t="shared" si="0"/>
        <v>5</v>
      </c>
      <c r="H104" s="174">
        <v>5</v>
      </c>
      <c r="I104" s="177"/>
      <c r="J104" s="174">
        <f t="shared" si="1"/>
        <v>0</v>
      </c>
      <c r="K104" s="174"/>
      <c r="L104" s="177"/>
      <c r="M104" s="10">
        <f t="shared" si="6"/>
        <v>0</v>
      </c>
      <c r="N104" s="10"/>
      <c r="O104" s="37" t="s">
        <v>194</v>
      </c>
      <c r="P104" s="48" t="s">
        <v>153</v>
      </c>
      <c r="Q104" s="36" t="s">
        <v>154</v>
      </c>
      <c r="R104" s="23"/>
    </row>
    <row r="105" spans="2:18" ht="84" x14ac:dyDescent="0.3">
      <c r="B105" s="8"/>
      <c r="C105" s="91" t="s">
        <v>654</v>
      </c>
      <c r="D105" s="174">
        <f t="shared" si="5"/>
        <v>3.4</v>
      </c>
      <c r="E105" s="174">
        <v>3.4</v>
      </c>
      <c r="F105" s="177"/>
      <c r="G105" s="174">
        <f t="shared" si="0"/>
        <v>3.4</v>
      </c>
      <c r="H105" s="174">
        <v>3.4</v>
      </c>
      <c r="I105" s="177"/>
      <c r="J105" s="174">
        <f t="shared" si="1"/>
        <v>0</v>
      </c>
      <c r="K105" s="174"/>
      <c r="L105" s="177"/>
      <c r="M105" s="10">
        <f t="shared" si="6"/>
        <v>0</v>
      </c>
      <c r="N105" s="10"/>
      <c r="O105" s="124" t="s">
        <v>634</v>
      </c>
      <c r="P105" s="30">
        <v>29</v>
      </c>
      <c r="Q105" s="36" t="s">
        <v>40</v>
      </c>
      <c r="R105" s="36"/>
    </row>
    <row r="106" spans="2:18" ht="63.6" customHeight="1" x14ac:dyDescent="0.3">
      <c r="B106" s="8"/>
      <c r="C106" s="111" t="s">
        <v>636</v>
      </c>
      <c r="D106" s="174">
        <f t="shared" si="5"/>
        <v>4.68</v>
      </c>
      <c r="E106" s="174">
        <v>4.68</v>
      </c>
      <c r="F106" s="177"/>
      <c r="G106" s="174">
        <f t="shared" si="0"/>
        <v>4.68</v>
      </c>
      <c r="H106" s="174">
        <v>4.68</v>
      </c>
      <c r="I106" s="177"/>
      <c r="J106" s="174">
        <f t="shared" si="1"/>
        <v>0</v>
      </c>
      <c r="K106" s="174"/>
      <c r="L106" s="177"/>
      <c r="M106" s="10">
        <f t="shared" si="6"/>
        <v>0</v>
      </c>
      <c r="N106" s="10"/>
      <c r="O106" s="4" t="s">
        <v>523</v>
      </c>
      <c r="P106" s="30">
        <v>109</v>
      </c>
      <c r="Q106" s="36" t="s">
        <v>40</v>
      </c>
      <c r="R106" s="36"/>
    </row>
    <row r="107" spans="2:18" x14ac:dyDescent="0.3">
      <c r="B107" s="8"/>
      <c r="C107" s="111"/>
      <c r="D107" s="174">
        <f t="shared" si="5"/>
        <v>81.147390000000001</v>
      </c>
      <c r="E107" s="174">
        <v>81.147390000000001</v>
      </c>
      <c r="F107" s="177"/>
      <c r="G107" s="174"/>
      <c r="H107" s="174"/>
      <c r="I107" s="177"/>
      <c r="J107" s="174"/>
      <c r="K107" s="174"/>
      <c r="L107" s="177"/>
      <c r="M107" s="10"/>
      <c r="N107" s="10"/>
      <c r="O107" s="4"/>
      <c r="P107" s="4"/>
      <c r="Q107" s="30"/>
      <c r="R107" s="36"/>
    </row>
    <row r="108" spans="2:18" x14ac:dyDescent="0.3">
      <c r="B108" s="8"/>
      <c r="C108" s="46" t="s">
        <v>41</v>
      </c>
      <c r="D108" s="173">
        <f t="shared" si="5"/>
        <v>173.39535000000001</v>
      </c>
      <c r="E108" s="187">
        <f>SUM(E102:E107)</f>
        <v>173.39535000000001</v>
      </c>
      <c r="F108" s="187">
        <f>SUM(F102:F104)</f>
        <v>0</v>
      </c>
      <c r="G108" s="173">
        <f t="shared" si="0"/>
        <v>84.167959999999994</v>
      </c>
      <c r="H108" s="187">
        <f>SUM(H102:H104)</f>
        <v>84.167959999999994</v>
      </c>
      <c r="I108" s="187">
        <f>SUM(I102:I104)</f>
        <v>0</v>
      </c>
      <c r="J108" s="173">
        <f t="shared" si="1"/>
        <v>73.975349999999992</v>
      </c>
      <c r="K108" s="187">
        <f>SUM(K102:K104)</f>
        <v>73.975349999999992</v>
      </c>
      <c r="L108" s="187">
        <f>SUM(L102:L104)</f>
        <v>0</v>
      </c>
      <c r="M108" s="75">
        <f t="shared" si="6"/>
        <v>42.662822272915612</v>
      </c>
      <c r="N108" s="10"/>
      <c r="O108" s="49"/>
      <c r="P108" s="11"/>
      <c r="Q108" s="12"/>
      <c r="R108" s="23"/>
    </row>
    <row r="109" spans="2:18" ht="36" x14ac:dyDescent="0.3">
      <c r="B109" s="21" t="s">
        <v>195</v>
      </c>
      <c r="C109" s="39" t="s">
        <v>196</v>
      </c>
      <c r="D109" s="173"/>
      <c r="E109" s="172"/>
      <c r="F109" s="172"/>
      <c r="G109" s="173"/>
      <c r="H109" s="174"/>
      <c r="I109" s="175"/>
      <c r="J109" s="173"/>
      <c r="K109" s="174"/>
      <c r="L109" s="174"/>
      <c r="M109" s="10"/>
      <c r="N109" s="10"/>
      <c r="O109" s="23"/>
      <c r="P109" s="17"/>
      <c r="Q109" s="23"/>
      <c r="R109" s="13"/>
    </row>
    <row r="110" spans="2:18" ht="72" x14ac:dyDescent="0.3">
      <c r="B110" s="8"/>
      <c r="C110" s="14" t="s">
        <v>197</v>
      </c>
      <c r="D110" s="174">
        <f t="shared" si="5"/>
        <v>1.6</v>
      </c>
      <c r="E110" s="174">
        <v>1.6</v>
      </c>
      <c r="F110" s="177"/>
      <c r="G110" s="174">
        <f t="shared" si="0"/>
        <v>1.6</v>
      </c>
      <c r="H110" s="174">
        <v>1.6</v>
      </c>
      <c r="I110" s="177"/>
      <c r="J110" s="174">
        <f t="shared" si="1"/>
        <v>1.6</v>
      </c>
      <c r="K110" s="174">
        <v>1.6</v>
      </c>
      <c r="L110" s="177"/>
      <c r="M110" s="10">
        <f t="shared" ref="M110:M147" si="24">J110/D110%</f>
        <v>100</v>
      </c>
      <c r="N110" s="10"/>
      <c r="O110" s="50" t="s">
        <v>198</v>
      </c>
      <c r="P110" s="4" t="s">
        <v>199</v>
      </c>
      <c r="Q110" s="15" t="s">
        <v>200</v>
      </c>
      <c r="R110" s="104"/>
    </row>
    <row r="111" spans="2:18" ht="84" x14ac:dyDescent="0.3">
      <c r="B111" s="8"/>
      <c r="C111" s="14" t="s">
        <v>201</v>
      </c>
      <c r="D111" s="174">
        <f t="shared" si="5"/>
        <v>17.452200000000001</v>
      </c>
      <c r="E111" s="174">
        <v>17.452200000000001</v>
      </c>
      <c r="F111" s="177"/>
      <c r="G111" s="174">
        <f t="shared" si="0"/>
        <v>17.452200000000001</v>
      </c>
      <c r="H111" s="174">
        <v>17.452200000000001</v>
      </c>
      <c r="I111" s="188"/>
      <c r="J111" s="174">
        <f t="shared" si="1"/>
        <v>17.452200000000001</v>
      </c>
      <c r="K111" s="174">
        <v>17.452200000000001</v>
      </c>
      <c r="L111" s="177"/>
      <c r="M111" s="10">
        <f t="shared" si="24"/>
        <v>100</v>
      </c>
      <c r="N111" s="10"/>
      <c r="O111" s="50" t="s">
        <v>202</v>
      </c>
      <c r="P111" s="24" t="s">
        <v>203</v>
      </c>
      <c r="Q111" s="15" t="s">
        <v>204</v>
      </c>
      <c r="R111" s="15"/>
    </row>
    <row r="112" spans="2:18" ht="108" x14ac:dyDescent="0.3">
      <c r="B112" s="8"/>
      <c r="C112" s="25" t="s">
        <v>205</v>
      </c>
      <c r="D112" s="174">
        <f t="shared" si="5"/>
        <v>149.97154</v>
      </c>
      <c r="E112" s="174">
        <v>149.97154</v>
      </c>
      <c r="F112" s="177"/>
      <c r="G112" s="174">
        <f t="shared" si="0"/>
        <v>149.999</v>
      </c>
      <c r="H112" s="188">
        <v>149.999</v>
      </c>
      <c r="I112" s="188"/>
      <c r="J112" s="174">
        <f t="shared" si="1"/>
        <v>149.97154</v>
      </c>
      <c r="K112" s="174">
        <v>149.97154</v>
      </c>
      <c r="L112" s="177"/>
      <c r="M112" s="10">
        <f t="shared" si="24"/>
        <v>100</v>
      </c>
      <c r="N112" s="10"/>
      <c r="O112" s="8" t="s">
        <v>206</v>
      </c>
      <c r="P112" s="24" t="s">
        <v>207</v>
      </c>
      <c r="Q112" s="15" t="s">
        <v>208</v>
      </c>
      <c r="R112" s="13" t="s">
        <v>209</v>
      </c>
    </row>
    <row r="113" spans="2:19" ht="72" x14ac:dyDescent="0.3">
      <c r="B113" s="8"/>
      <c r="C113" s="14" t="s">
        <v>210</v>
      </c>
      <c r="D113" s="174">
        <f t="shared" si="5"/>
        <v>449.76558</v>
      </c>
      <c r="E113" s="177">
        <v>449.76558</v>
      </c>
      <c r="F113" s="177"/>
      <c r="G113" s="174">
        <f t="shared" si="0"/>
        <v>449.99900000000002</v>
      </c>
      <c r="H113" s="177">
        <v>449.99900000000002</v>
      </c>
      <c r="I113" s="177"/>
      <c r="J113" s="174">
        <f t="shared" si="1"/>
        <v>441.54216000000002</v>
      </c>
      <c r="K113" s="174">
        <f>165.52599+89+97.73767+89.2785</f>
        <v>441.54216000000002</v>
      </c>
      <c r="L113" s="177"/>
      <c r="M113" s="10">
        <f t="shared" si="24"/>
        <v>98.171620869698387</v>
      </c>
      <c r="N113" s="10">
        <v>100</v>
      </c>
      <c r="O113" s="8" t="s">
        <v>211</v>
      </c>
      <c r="P113" s="24" t="s">
        <v>212</v>
      </c>
      <c r="Q113" s="15" t="s">
        <v>213</v>
      </c>
      <c r="R113" s="13"/>
      <c r="S113" s="98"/>
    </row>
    <row r="114" spans="2:19" ht="108" x14ac:dyDescent="0.3">
      <c r="B114" s="8"/>
      <c r="C114" s="51" t="s">
        <v>214</v>
      </c>
      <c r="D114" s="174">
        <f t="shared" si="5"/>
        <v>19.183109999999999</v>
      </c>
      <c r="E114" s="174">
        <v>19.183109999999999</v>
      </c>
      <c r="F114" s="177"/>
      <c r="G114" s="174">
        <f t="shared" si="0"/>
        <v>19.183109999999999</v>
      </c>
      <c r="H114" s="174">
        <v>19.183109999999999</v>
      </c>
      <c r="I114" s="177"/>
      <c r="J114" s="174">
        <f t="shared" si="1"/>
        <v>19.183109999999999</v>
      </c>
      <c r="K114" s="174">
        <f>2.35415+16.82896</f>
        <v>19.183109999999999</v>
      </c>
      <c r="L114" s="177"/>
      <c r="M114" s="10">
        <f t="shared" si="24"/>
        <v>100</v>
      </c>
      <c r="N114" s="10"/>
      <c r="O114" s="8" t="s">
        <v>215</v>
      </c>
      <c r="P114" s="30">
        <v>55</v>
      </c>
      <c r="Q114" s="15" t="s">
        <v>216</v>
      </c>
      <c r="R114" s="13"/>
    </row>
    <row r="115" spans="2:19" ht="60" x14ac:dyDescent="0.3">
      <c r="B115" s="8"/>
      <c r="C115" s="59" t="s">
        <v>217</v>
      </c>
      <c r="D115" s="174">
        <f t="shared" si="5"/>
        <v>102.48832</v>
      </c>
      <c r="E115" s="177">
        <v>102.48832</v>
      </c>
      <c r="F115" s="177"/>
      <c r="G115" s="174">
        <f t="shared" si="0"/>
        <v>103.10299999999999</v>
      </c>
      <c r="H115" s="177">
        <v>103.10299999999999</v>
      </c>
      <c r="I115" s="177"/>
      <c r="J115" s="174">
        <f t="shared" si="1"/>
        <v>101.04650000000001</v>
      </c>
      <c r="K115" s="174">
        <f>80.4465+20.6</f>
        <v>101.04650000000001</v>
      </c>
      <c r="L115" s="177"/>
      <c r="M115" s="10">
        <f t="shared" si="24"/>
        <v>98.593186033296277</v>
      </c>
      <c r="N115" s="10">
        <v>100</v>
      </c>
      <c r="O115" s="8" t="s">
        <v>218</v>
      </c>
      <c r="P115" s="52">
        <v>42</v>
      </c>
      <c r="Q115" s="15" t="s">
        <v>219</v>
      </c>
      <c r="R115" s="13"/>
    </row>
    <row r="116" spans="2:19" ht="108" x14ac:dyDescent="0.3">
      <c r="B116" s="8"/>
      <c r="C116" s="59" t="s">
        <v>220</v>
      </c>
      <c r="D116" s="174">
        <f t="shared" si="5"/>
        <v>16.541239999999998</v>
      </c>
      <c r="E116" s="177">
        <v>16.541239999999998</v>
      </c>
      <c r="F116" s="177"/>
      <c r="G116" s="174">
        <f t="shared" si="0"/>
        <v>16.541239999999998</v>
      </c>
      <c r="H116" s="177">
        <v>16.541239999999998</v>
      </c>
      <c r="I116" s="177"/>
      <c r="J116" s="174">
        <f t="shared" si="1"/>
        <v>16.540410000000001</v>
      </c>
      <c r="K116" s="174">
        <v>16.540410000000001</v>
      </c>
      <c r="L116" s="177"/>
      <c r="M116" s="10">
        <f t="shared" si="24"/>
        <v>99.99498223833281</v>
      </c>
      <c r="N116" s="10"/>
      <c r="O116" s="8" t="s">
        <v>221</v>
      </c>
      <c r="P116" s="30" t="s">
        <v>222</v>
      </c>
      <c r="Q116" s="59" t="s">
        <v>208</v>
      </c>
      <c r="R116" s="13"/>
    </row>
    <row r="117" spans="2:19" ht="96" x14ac:dyDescent="0.3">
      <c r="B117" s="8"/>
      <c r="C117" s="110" t="s">
        <v>223</v>
      </c>
      <c r="D117" s="174">
        <f t="shared" si="5"/>
        <v>26.827000000000002</v>
      </c>
      <c r="E117" s="177">
        <v>26.827000000000002</v>
      </c>
      <c r="F117" s="177"/>
      <c r="G117" s="180">
        <f t="shared" si="0"/>
        <v>26.827000000000002</v>
      </c>
      <c r="H117" s="177">
        <v>26.827000000000002</v>
      </c>
      <c r="I117" s="177"/>
      <c r="J117" s="174">
        <f t="shared" si="1"/>
        <v>26.819979999999997</v>
      </c>
      <c r="K117" s="174">
        <f>3.49974+15.42654+7.8937</f>
        <v>26.819979999999997</v>
      </c>
      <c r="L117" s="177"/>
      <c r="M117" s="10">
        <f t="shared" si="24"/>
        <v>99.973832333097235</v>
      </c>
      <c r="N117" s="10"/>
      <c r="O117" s="8" t="s">
        <v>224</v>
      </c>
      <c r="P117" s="30" t="s">
        <v>153</v>
      </c>
      <c r="Q117" s="59" t="s">
        <v>225</v>
      </c>
      <c r="R117" s="13"/>
    </row>
    <row r="118" spans="2:19" ht="84" x14ac:dyDescent="0.3">
      <c r="B118" s="8"/>
      <c r="C118" s="59" t="s">
        <v>500</v>
      </c>
      <c r="D118" s="174">
        <f t="shared" si="5"/>
        <v>27.56598</v>
      </c>
      <c r="E118" s="177">
        <v>27.56598</v>
      </c>
      <c r="F118" s="177"/>
      <c r="G118" s="180">
        <f t="shared" si="0"/>
        <v>27.56598</v>
      </c>
      <c r="H118" s="185">
        <v>27.56598</v>
      </c>
      <c r="I118" s="177"/>
      <c r="J118" s="174">
        <f t="shared" si="1"/>
        <v>27.542590000000001</v>
      </c>
      <c r="K118" s="174">
        <v>27.542590000000001</v>
      </c>
      <c r="L118" s="177"/>
      <c r="M118" s="10">
        <f t="shared" si="24"/>
        <v>99.915149035151302</v>
      </c>
      <c r="N118" s="10"/>
      <c r="O118" s="8" t="s">
        <v>664</v>
      </c>
      <c r="P118" s="30">
        <v>82</v>
      </c>
      <c r="Q118" s="59" t="s">
        <v>501</v>
      </c>
      <c r="R118" s="13"/>
    </row>
    <row r="119" spans="2:19" ht="120" x14ac:dyDescent="0.3">
      <c r="B119" s="8"/>
      <c r="C119" s="59" t="s">
        <v>521</v>
      </c>
      <c r="D119" s="174">
        <f t="shared" si="5"/>
        <v>5.8669599999999997</v>
      </c>
      <c r="E119" s="177">
        <v>5.8669599999999997</v>
      </c>
      <c r="F119" s="177"/>
      <c r="G119" s="180">
        <f t="shared" si="0"/>
        <v>5.8669599999999997</v>
      </c>
      <c r="H119" s="177">
        <v>5.8669599999999997</v>
      </c>
      <c r="I119" s="177"/>
      <c r="J119" s="174">
        <f t="shared" si="1"/>
        <v>5.2118099999999998</v>
      </c>
      <c r="K119" s="174">
        <v>5.2118099999999998</v>
      </c>
      <c r="L119" s="177"/>
      <c r="M119" s="10">
        <f t="shared" si="24"/>
        <v>88.833228793105803</v>
      </c>
      <c r="N119" s="10"/>
      <c r="O119" s="8" t="s">
        <v>665</v>
      </c>
      <c r="P119" s="30">
        <v>99</v>
      </c>
      <c r="Q119" s="59" t="s">
        <v>520</v>
      </c>
      <c r="R119" s="13"/>
    </row>
    <row r="120" spans="2:19" ht="96" x14ac:dyDescent="0.3">
      <c r="B120" s="8"/>
      <c r="C120" s="16" t="s">
        <v>226</v>
      </c>
      <c r="D120" s="174">
        <f t="shared" si="5"/>
        <v>258.15071999999998</v>
      </c>
      <c r="E120" s="177">
        <v>12.90753</v>
      </c>
      <c r="F120" s="177">
        <v>245.24319</v>
      </c>
      <c r="G120" s="174">
        <f t="shared" si="0"/>
        <v>258.15071999999998</v>
      </c>
      <c r="H120" s="177">
        <v>12.90753</v>
      </c>
      <c r="I120" s="177">
        <v>245.24319</v>
      </c>
      <c r="J120" s="174">
        <f t="shared" si="1"/>
        <v>215.47256999999999</v>
      </c>
      <c r="K120" s="174"/>
      <c r="L120" s="177">
        <f>30.34747+25.9166+50.87144+63.14873+23.8576+21.33073</f>
        <v>215.47256999999999</v>
      </c>
      <c r="M120" s="10">
        <f t="shared" si="24"/>
        <v>83.467739311360432</v>
      </c>
      <c r="N120" s="10">
        <v>100</v>
      </c>
      <c r="O120" s="8" t="s">
        <v>227</v>
      </c>
      <c r="P120" s="24" t="s">
        <v>228</v>
      </c>
      <c r="Q120" s="15" t="s">
        <v>229</v>
      </c>
      <c r="R120" s="13"/>
      <c r="S120" s="117"/>
    </row>
    <row r="121" spans="2:19" ht="84" x14ac:dyDescent="0.3">
      <c r="B121" s="8"/>
      <c r="C121" s="14" t="s">
        <v>230</v>
      </c>
      <c r="D121" s="174">
        <f t="shared" si="5"/>
        <v>148.44810000000001</v>
      </c>
      <c r="E121" s="174">
        <v>7.4223999999999997</v>
      </c>
      <c r="F121" s="174">
        <v>141.0257</v>
      </c>
      <c r="G121" s="174">
        <f t="shared" si="0"/>
        <v>148.44810000000001</v>
      </c>
      <c r="H121" s="174">
        <v>7.4223999999999997</v>
      </c>
      <c r="I121" s="174">
        <v>141.0257</v>
      </c>
      <c r="J121" s="174">
        <f t="shared" si="1"/>
        <v>114.83980000000001</v>
      </c>
      <c r="K121" s="174">
        <v>0.7</v>
      </c>
      <c r="L121" s="174">
        <f>9.45956+28.3+23.58457+12.66336+40.13231</f>
        <v>114.13980000000001</v>
      </c>
      <c r="M121" s="10">
        <f t="shared" si="24"/>
        <v>77.360235664855253</v>
      </c>
      <c r="N121" s="10">
        <v>100</v>
      </c>
      <c r="O121" s="8" t="s">
        <v>227</v>
      </c>
      <c r="P121" s="24" t="s">
        <v>231</v>
      </c>
      <c r="Q121" s="15" t="s">
        <v>229</v>
      </c>
      <c r="R121" s="13"/>
      <c r="S121" s="118"/>
    </row>
    <row r="122" spans="2:19" ht="84" x14ac:dyDescent="0.3">
      <c r="B122" s="8"/>
      <c r="C122" s="25" t="s">
        <v>232</v>
      </c>
      <c r="D122" s="174">
        <f t="shared" si="5"/>
        <v>404.79608000000002</v>
      </c>
      <c r="E122" s="174">
        <v>38.559530000000002</v>
      </c>
      <c r="F122" s="177">
        <v>366.23655000000002</v>
      </c>
      <c r="G122" s="174">
        <f t="shared" si="0"/>
        <v>404.79608000000002</v>
      </c>
      <c r="H122" s="174">
        <v>38.559530000000002</v>
      </c>
      <c r="I122" s="177">
        <v>366.23655000000002</v>
      </c>
      <c r="J122" s="174">
        <f t="shared" si="1"/>
        <v>344.29007999999999</v>
      </c>
      <c r="K122" s="174">
        <f>3.638</f>
        <v>3.6379999999999999</v>
      </c>
      <c r="L122" s="177">
        <f>38.08012+75+54.4829+16.57647+45.01154+111.50105</f>
        <v>340.65208000000001</v>
      </c>
      <c r="M122" s="10">
        <f t="shared" si="24"/>
        <v>85.052720866269254</v>
      </c>
      <c r="N122" s="10">
        <v>100</v>
      </c>
      <c r="O122" s="4" t="s">
        <v>233</v>
      </c>
      <c r="P122" s="24" t="s">
        <v>234</v>
      </c>
      <c r="Q122" s="53" t="s">
        <v>235</v>
      </c>
      <c r="R122" s="13"/>
      <c r="S122" s="117"/>
    </row>
    <row r="123" spans="2:19" ht="96" x14ac:dyDescent="0.3">
      <c r="B123" s="8"/>
      <c r="C123" s="25" t="s">
        <v>236</v>
      </c>
      <c r="D123" s="174">
        <f t="shared" si="5"/>
        <v>495.25943000000001</v>
      </c>
      <c r="E123" s="174">
        <v>20.272790000000001</v>
      </c>
      <c r="F123" s="177">
        <f>495.25943-E123</f>
        <v>474.98664000000002</v>
      </c>
      <c r="G123" s="174">
        <f t="shared" si="0"/>
        <v>495.25943000000001</v>
      </c>
      <c r="H123" s="174">
        <v>20.272790000000001</v>
      </c>
      <c r="I123" s="177">
        <f>495.25943-H123</f>
        <v>474.98664000000002</v>
      </c>
      <c r="J123" s="174">
        <f t="shared" si="1"/>
        <v>413.93597</v>
      </c>
      <c r="K123" s="174"/>
      <c r="L123" s="177">
        <f>48.909+64.40143+75.21992+50.34724+110.13462+64.92376</f>
        <v>413.93597</v>
      </c>
      <c r="M123" s="10">
        <f t="shared" si="24"/>
        <v>83.579624117404478</v>
      </c>
      <c r="N123" s="10">
        <v>100</v>
      </c>
      <c r="O123" s="8" t="s">
        <v>233</v>
      </c>
      <c r="P123" s="24" t="s">
        <v>237</v>
      </c>
      <c r="Q123" s="15" t="s">
        <v>229</v>
      </c>
      <c r="R123" s="13"/>
      <c r="S123" s="117"/>
    </row>
    <row r="124" spans="2:19" ht="108" x14ac:dyDescent="0.3">
      <c r="B124" s="8"/>
      <c r="C124" s="25" t="s">
        <v>238</v>
      </c>
      <c r="D124" s="174">
        <f t="shared" si="5"/>
        <v>419.67812000000004</v>
      </c>
      <c r="E124" s="174">
        <v>18.9739</v>
      </c>
      <c r="F124" s="177">
        <v>400.70422000000002</v>
      </c>
      <c r="G124" s="174">
        <f t="shared" si="0"/>
        <v>477.86745000000002</v>
      </c>
      <c r="H124" s="174">
        <v>23.893370000000001</v>
      </c>
      <c r="I124" s="188">
        <v>453.97408000000001</v>
      </c>
      <c r="J124" s="174">
        <f t="shared" si="1"/>
        <v>377.06119999999999</v>
      </c>
      <c r="K124" s="174"/>
      <c r="L124" s="177">
        <f>91.217+30+213.26545+42.57875</f>
        <v>377.06119999999999</v>
      </c>
      <c r="M124" s="10">
        <f t="shared" si="24"/>
        <v>89.845331941536514</v>
      </c>
      <c r="N124" s="10">
        <v>100</v>
      </c>
      <c r="O124" s="8" t="s">
        <v>233</v>
      </c>
      <c r="P124" s="4" t="s">
        <v>239</v>
      </c>
      <c r="Q124" s="15" t="s">
        <v>240</v>
      </c>
      <c r="R124" s="13"/>
      <c r="S124" s="117"/>
    </row>
    <row r="125" spans="2:19" ht="108" x14ac:dyDescent="0.3">
      <c r="B125" s="8"/>
      <c r="C125" s="54" t="s">
        <v>241</v>
      </c>
      <c r="D125" s="174">
        <f t="shared" si="5"/>
        <v>494.84632000000005</v>
      </c>
      <c r="E125" s="174">
        <v>21.1</v>
      </c>
      <c r="F125" s="177">
        <v>473.74632000000003</v>
      </c>
      <c r="G125" s="174">
        <f t="shared" si="0"/>
        <v>499.98599999999999</v>
      </c>
      <c r="H125" s="174">
        <v>24.999300000000002</v>
      </c>
      <c r="I125" s="177">
        <v>474.98669999999998</v>
      </c>
      <c r="J125" s="174">
        <f t="shared" si="1"/>
        <v>449.47248999999999</v>
      </c>
      <c r="K125" s="174"/>
      <c r="L125" s="177">
        <f>4.93819+215+98.27069+89.78454+41.47907</f>
        <v>449.47248999999999</v>
      </c>
      <c r="M125" s="10">
        <f t="shared" si="24"/>
        <v>90.830722960615304</v>
      </c>
      <c r="N125" s="10">
        <v>100</v>
      </c>
      <c r="O125" s="8" t="s">
        <v>233</v>
      </c>
      <c r="P125" s="4" t="s">
        <v>242</v>
      </c>
      <c r="Q125" s="15" t="s">
        <v>243</v>
      </c>
      <c r="R125" s="13"/>
      <c r="S125" s="117"/>
    </row>
    <row r="126" spans="2:19" ht="108" x14ac:dyDescent="0.3">
      <c r="B126" s="8"/>
      <c r="C126" s="59" t="s">
        <v>637</v>
      </c>
      <c r="D126" s="174">
        <f t="shared" si="5"/>
        <v>191.23099999999999</v>
      </c>
      <c r="E126" s="174">
        <v>80</v>
      </c>
      <c r="F126" s="177">
        <v>111.23099999999999</v>
      </c>
      <c r="G126" s="174">
        <f t="shared" si="0"/>
        <v>293.13099999999997</v>
      </c>
      <c r="H126" s="174">
        <v>124.43411</v>
      </c>
      <c r="I126" s="177">
        <v>168.69689</v>
      </c>
      <c r="J126" s="174">
        <f t="shared" si="1"/>
        <v>111.23003</v>
      </c>
      <c r="K126" s="174"/>
      <c r="L126" s="177">
        <v>111.23003</v>
      </c>
      <c r="M126" s="10">
        <f t="shared" si="24"/>
        <v>58.165271321072424</v>
      </c>
      <c r="N126" s="10">
        <v>60</v>
      </c>
      <c r="O126" s="8" t="s">
        <v>666</v>
      </c>
      <c r="P126" s="58">
        <v>78</v>
      </c>
      <c r="Q126" s="15" t="s">
        <v>240</v>
      </c>
      <c r="R126" s="13"/>
      <c r="S126" s="117"/>
    </row>
    <row r="127" spans="2:19" ht="108" x14ac:dyDescent="0.3">
      <c r="B127" s="8"/>
      <c r="C127" s="59" t="s">
        <v>638</v>
      </c>
      <c r="D127" s="174">
        <f t="shared" si="5"/>
        <v>200.13012000000001</v>
      </c>
      <c r="E127" s="174">
        <v>70</v>
      </c>
      <c r="F127" s="177">
        <v>130.13012000000001</v>
      </c>
      <c r="G127" s="174">
        <f t="shared" si="0"/>
        <v>237.98487</v>
      </c>
      <c r="H127" s="174">
        <v>107.85475</v>
      </c>
      <c r="I127" s="177">
        <v>130.13012000000001</v>
      </c>
      <c r="J127" s="174">
        <f t="shared" si="1"/>
        <v>161.64462</v>
      </c>
      <c r="K127" s="174">
        <v>31.514620000000001</v>
      </c>
      <c r="L127" s="177">
        <v>130.13</v>
      </c>
      <c r="M127" s="10">
        <f t="shared" si="24"/>
        <v>80.7697611933676</v>
      </c>
      <c r="N127" s="10">
        <v>80</v>
      </c>
      <c r="O127" s="8" t="s">
        <v>667</v>
      </c>
      <c r="P127" s="30" t="s">
        <v>522</v>
      </c>
      <c r="Q127" s="59" t="s">
        <v>240</v>
      </c>
      <c r="R127" s="13"/>
      <c r="S127" s="117"/>
    </row>
    <row r="128" spans="2:19" ht="108" x14ac:dyDescent="0.3">
      <c r="B128" s="8"/>
      <c r="C128" s="59" t="s">
        <v>244</v>
      </c>
      <c r="D128" s="189">
        <f t="shared" si="5"/>
        <v>0.5</v>
      </c>
      <c r="E128" s="190"/>
      <c r="F128" s="177">
        <v>0.5</v>
      </c>
      <c r="G128" s="174">
        <f t="shared" si="0"/>
        <v>0.5</v>
      </c>
      <c r="H128" s="174"/>
      <c r="I128" s="177">
        <v>0.5</v>
      </c>
      <c r="J128" s="174">
        <f t="shared" si="1"/>
        <v>0.49469999999999997</v>
      </c>
      <c r="K128" s="174"/>
      <c r="L128" s="177">
        <v>0.49469999999999997</v>
      </c>
      <c r="M128" s="10">
        <f t="shared" si="24"/>
        <v>98.94</v>
      </c>
      <c r="N128" s="10"/>
      <c r="O128" s="8" t="s">
        <v>245</v>
      </c>
      <c r="P128" s="10">
        <v>156</v>
      </c>
      <c r="Q128" s="59" t="s">
        <v>246</v>
      </c>
      <c r="R128" s="13"/>
      <c r="S128" s="119"/>
    </row>
    <row r="129" spans="2:19" ht="96" x14ac:dyDescent="0.3">
      <c r="B129" s="56"/>
      <c r="C129" s="110" t="s">
        <v>247</v>
      </c>
      <c r="D129" s="189">
        <f t="shared" si="5"/>
        <v>103.779</v>
      </c>
      <c r="E129" s="191"/>
      <c r="F129" s="192">
        <v>103.779</v>
      </c>
      <c r="G129" s="189">
        <f t="shared" si="0"/>
        <v>103.779</v>
      </c>
      <c r="H129" s="189"/>
      <c r="I129" s="192">
        <v>103.779</v>
      </c>
      <c r="J129" s="189">
        <f t="shared" si="1"/>
        <v>103.779</v>
      </c>
      <c r="K129" s="189"/>
      <c r="L129" s="192">
        <f>25.466+78.313</f>
        <v>103.779</v>
      </c>
      <c r="M129" s="10">
        <f t="shared" si="24"/>
        <v>100</v>
      </c>
      <c r="N129" s="125"/>
      <c r="O129" s="56" t="s">
        <v>248</v>
      </c>
      <c r="P129" s="106" t="s">
        <v>249</v>
      </c>
      <c r="Q129" s="110" t="s">
        <v>250</v>
      </c>
      <c r="R129" s="13"/>
      <c r="S129" s="120"/>
    </row>
    <row r="130" spans="2:19" ht="168" x14ac:dyDescent="0.3">
      <c r="B130" s="8"/>
      <c r="C130" s="44" t="s">
        <v>488</v>
      </c>
      <c r="D130" s="189">
        <f t="shared" si="5"/>
        <v>5.7774999999999999</v>
      </c>
      <c r="E130" s="190"/>
      <c r="F130" s="190">
        <v>5.7774999999999999</v>
      </c>
      <c r="G130" s="189">
        <f t="shared" si="0"/>
        <v>5.7774999999999999</v>
      </c>
      <c r="H130" s="190"/>
      <c r="I130" s="190">
        <v>5.7774999999999999</v>
      </c>
      <c r="J130" s="189">
        <f t="shared" si="1"/>
        <v>5.7774999999999999</v>
      </c>
      <c r="K130" s="174"/>
      <c r="L130" s="177">
        <v>5.7774999999999999</v>
      </c>
      <c r="M130" s="10">
        <f t="shared" si="24"/>
        <v>100</v>
      </c>
      <c r="N130" s="10"/>
      <c r="O130" s="8" t="s">
        <v>251</v>
      </c>
      <c r="P130" s="58">
        <v>68</v>
      </c>
      <c r="Q130" s="38" t="s">
        <v>250</v>
      </c>
      <c r="R130" s="13"/>
      <c r="S130" s="120"/>
    </row>
    <row r="131" spans="2:19" ht="84" x14ac:dyDescent="0.3">
      <c r="B131" s="8"/>
      <c r="C131" s="44" t="s">
        <v>599</v>
      </c>
      <c r="D131" s="189">
        <f t="shared" si="5"/>
        <v>29.95</v>
      </c>
      <c r="E131" s="190">
        <v>29.95</v>
      </c>
      <c r="F131" s="177"/>
      <c r="G131" s="189">
        <f t="shared" si="0"/>
        <v>29.95</v>
      </c>
      <c r="H131" s="190">
        <v>29.95</v>
      </c>
      <c r="I131" s="177"/>
      <c r="J131" s="189">
        <f t="shared" si="1"/>
        <v>28.71367</v>
      </c>
      <c r="K131" s="174">
        <f>2.7844+1.32201+2.74896+3.19455+1.65376+3.22633+2.49648+4.68865+6.59853</f>
        <v>28.71367</v>
      </c>
      <c r="L131" s="177"/>
      <c r="M131" s="10">
        <f t="shared" si="24"/>
        <v>95.872020033388992</v>
      </c>
      <c r="N131" s="10"/>
      <c r="O131" s="8" t="s">
        <v>38</v>
      </c>
      <c r="P131" s="58" t="s">
        <v>39</v>
      </c>
      <c r="Q131" s="32" t="s">
        <v>102</v>
      </c>
      <c r="R131" s="13"/>
    </row>
    <row r="132" spans="2:19" ht="84" x14ac:dyDescent="0.3">
      <c r="B132" s="8"/>
      <c r="C132" s="91" t="s">
        <v>639</v>
      </c>
      <c r="D132" s="189">
        <f t="shared" si="5"/>
        <v>2.7459999999999998E-2</v>
      </c>
      <c r="E132" s="190">
        <v>2.7459999999999998E-2</v>
      </c>
      <c r="F132" s="177"/>
      <c r="G132" s="189">
        <f t="shared" si="0"/>
        <v>2.7459999999999998E-2</v>
      </c>
      <c r="H132" s="190">
        <v>2.7459999999999998E-2</v>
      </c>
      <c r="I132" s="177"/>
      <c r="J132" s="189">
        <f t="shared" si="1"/>
        <v>0</v>
      </c>
      <c r="K132" s="174"/>
      <c r="L132" s="177"/>
      <c r="M132" s="10">
        <f t="shared" si="24"/>
        <v>0</v>
      </c>
      <c r="N132" s="10"/>
      <c r="O132" s="124" t="s">
        <v>634</v>
      </c>
      <c r="P132" s="58">
        <v>29</v>
      </c>
      <c r="Q132" s="32" t="s">
        <v>102</v>
      </c>
      <c r="R132" s="13"/>
    </row>
    <row r="133" spans="2:19" x14ac:dyDescent="0.3">
      <c r="B133" s="8"/>
      <c r="C133" s="91" t="s">
        <v>253</v>
      </c>
      <c r="D133" s="174">
        <f t="shared" si="5"/>
        <v>16.114129999999999</v>
      </c>
      <c r="E133" s="174"/>
      <c r="F133" s="177">
        <v>16.114129999999999</v>
      </c>
      <c r="G133" s="174">
        <f t="shared" si="0"/>
        <v>0</v>
      </c>
      <c r="H133" s="174"/>
      <c r="I133" s="177"/>
      <c r="J133" s="174">
        <f t="shared" si="1"/>
        <v>0</v>
      </c>
      <c r="K133" s="174"/>
      <c r="L133" s="177"/>
      <c r="M133" s="10">
        <f t="shared" si="24"/>
        <v>0</v>
      </c>
      <c r="N133" s="10"/>
      <c r="O133" s="8"/>
      <c r="P133" s="58"/>
      <c r="Q133" s="6"/>
      <c r="R133" s="13"/>
    </row>
    <row r="134" spans="2:19" x14ac:dyDescent="0.3">
      <c r="B134" s="8"/>
      <c r="C134" s="91" t="s">
        <v>252</v>
      </c>
      <c r="D134" s="174">
        <f t="shared" si="5"/>
        <v>11.101509999999999</v>
      </c>
      <c r="E134" s="190"/>
      <c r="F134" s="177">
        <v>11.101509999999999</v>
      </c>
      <c r="G134" s="174">
        <f t="shared" ref="G134:G154" si="25">H134+I134</f>
        <v>0</v>
      </c>
      <c r="H134" s="174"/>
      <c r="I134" s="188"/>
      <c r="J134" s="174">
        <f t="shared" ref="J134:J154" si="26">K134+L134</f>
        <v>0</v>
      </c>
      <c r="K134" s="174"/>
      <c r="L134" s="177"/>
      <c r="M134" s="10">
        <f t="shared" si="24"/>
        <v>0</v>
      </c>
      <c r="N134" s="10"/>
      <c r="O134" s="8"/>
      <c r="P134" s="58"/>
      <c r="Q134" s="6"/>
      <c r="R134" s="13"/>
    </row>
    <row r="135" spans="2:19" x14ac:dyDescent="0.3">
      <c r="B135" s="8"/>
      <c r="C135" s="25" t="s">
        <v>603</v>
      </c>
      <c r="D135" s="174">
        <f t="shared" si="5"/>
        <v>1.8059400000000001</v>
      </c>
      <c r="E135" s="190"/>
      <c r="F135" s="177">
        <v>1.8059400000000001</v>
      </c>
      <c r="G135" s="174">
        <f t="shared" ref="G135" si="27">H135+I135</f>
        <v>0</v>
      </c>
      <c r="H135" s="174"/>
      <c r="I135" s="188"/>
      <c r="J135" s="174">
        <f t="shared" ref="J135" si="28">K135+L135</f>
        <v>0</v>
      </c>
      <c r="K135" s="174"/>
      <c r="L135" s="177"/>
      <c r="M135" s="10">
        <f t="shared" si="24"/>
        <v>0</v>
      </c>
      <c r="N135" s="10"/>
      <c r="O135" s="8"/>
      <c r="P135" s="58"/>
      <c r="Q135" s="6"/>
      <c r="R135" s="13"/>
    </row>
    <row r="136" spans="2:19" x14ac:dyDescent="0.3">
      <c r="B136" s="8"/>
      <c r="C136" s="25"/>
      <c r="D136" s="174">
        <f t="shared" si="5"/>
        <v>291.91572000000002</v>
      </c>
      <c r="E136" s="190">
        <v>291.91572000000002</v>
      </c>
      <c r="F136" s="177"/>
      <c r="G136" s="174"/>
      <c r="H136" s="174"/>
      <c r="I136" s="188"/>
      <c r="J136" s="174"/>
      <c r="K136" s="174"/>
      <c r="L136" s="177"/>
      <c r="M136" s="10">
        <f t="shared" si="24"/>
        <v>0</v>
      </c>
      <c r="N136" s="10"/>
      <c r="O136" s="8"/>
      <c r="P136" s="58"/>
      <c r="Q136" s="6"/>
      <c r="R136" s="13"/>
    </row>
    <row r="137" spans="2:19" x14ac:dyDescent="0.3">
      <c r="B137" s="21"/>
      <c r="C137" s="22" t="s">
        <v>41</v>
      </c>
      <c r="D137" s="173">
        <f t="shared" si="5"/>
        <v>3890.7730800000004</v>
      </c>
      <c r="E137" s="187">
        <f>SUM(E110:E136)</f>
        <v>1408.3912599999999</v>
      </c>
      <c r="F137" s="187">
        <f>SUM(F110:F135)</f>
        <v>2482.3818200000005</v>
      </c>
      <c r="G137" s="173">
        <f t="shared" si="25"/>
        <v>3773.7950999999998</v>
      </c>
      <c r="H137" s="187">
        <f>SUM(H110:H135)</f>
        <v>1208.4587299999998</v>
      </c>
      <c r="I137" s="187">
        <f>SUM(I110:I135)</f>
        <v>2565.33637</v>
      </c>
      <c r="J137" s="173">
        <f t="shared" si="26"/>
        <v>3133.6219300000007</v>
      </c>
      <c r="K137" s="187">
        <f>SUM(K110:K135)</f>
        <v>871.4765900000001</v>
      </c>
      <c r="L137" s="187">
        <f>SUM(L110:L135)</f>
        <v>2262.1453400000005</v>
      </c>
      <c r="M137" s="75">
        <f t="shared" si="24"/>
        <v>80.539827575860585</v>
      </c>
      <c r="N137" s="10"/>
      <c r="O137" s="21"/>
      <c r="P137" s="2"/>
      <c r="Q137" s="2"/>
      <c r="R137" s="13"/>
    </row>
    <row r="138" spans="2:19" x14ac:dyDescent="0.3">
      <c r="B138" s="21" t="s">
        <v>254</v>
      </c>
      <c r="C138" s="9" t="s">
        <v>255</v>
      </c>
      <c r="D138" s="173"/>
      <c r="E138" s="177"/>
      <c r="F138" s="177"/>
      <c r="G138" s="173"/>
      <c r="H138" s="177"/>
      <c r="I138" s="177"/>
      <c r="J138" s="173"/>
      <c r="K138" s="177"/>
      <c r="L138" s="177"/>
      <c r="M138" s="10"/>
      <c r="N138" s="10"/>
      <c r="O138" s="8"/>
      <c r="P138" s="11"/>
      <c r="Q138" s="12"/>
      <c r="R138" s="13"/>
    </row>
    <row r="139" spans="2:19" ht="48" x14ac:dyDescent="0.3">
      <c r="B139" s="21" t="s">
        <v>256</v>
      </c>
      <c r="C139" s="9" t="s">
        <v>257</v>
      </c>
      <c r="D139" s="173"/>
      <c r="E139" s="172"/>
      <c r="F139" s="172"/>
      <c r="G139" s="173"/>
      <c r="H139" s="174"/>
      <c r="I139" s="175"/>
      <c r="J139" s="173"/>
      <c r="K139" s="174"/>
      <c r="L139" s="174"/>
      <c r="M139" s="10"/>
      <c r="N139" s="10"/>
      <c r="O139" s="23"/>
      <c r="P139" s="17"/>
      <c r="Q139" s="23"/>
      <c r="R139" s="13"/>
    </row>
    <row r="140" spans="2:19" ht="72" x14ac:dyDescent="0.3">
      <c r="B140" s="8"/>
      <c r="C140" s="14" t="s">
        <v>258</v>
      </c>
      <c r="D140" s="174">
        <f t="shared" si="5"/>
        <v>0.39515</v>
      </c>
      <c r="E140" s="172">
        <v>0.39515</v>
      </c>
      <c r="F140" s="174"/>
      <c r="G140" s="174">
        <f t="shared" si="25"/>
        <v>0.39515</v>
      </c>
      <c r="H140" s="172">
        <v>0.39515</v>
      </c>
      <c r="I140" s="174"/>
      <c r="J140" s="174">
        <f t="shared" si="26"/>
        <v>0.39515</v>
      </c>
      <c r="K140" s="172">
        <v>0.39515</v>
      </c>
      <c r="L140" s="177"/>
      <c r="M140" s="10">
        <f t="shared" si="24"/>
        <v>100</v>
      </c>
      <c r="N140" s="10"/>
      <c r="O140" s="60" t="s">
        <v>259</v>
      </c>
      <c r="P140" s="24" t="s">
        <v>239</v>
      </c>
      <c r="Q140" s="15" t="s">
        <v>260</v>
      </c>
      <c r="R140" s="13"/>
    </row>
    <row r="141" spans="2:19" ht="72" x14ac:dyDescent="0.3">
      <c r="B141" s="8"/>
      <c r="C141" s="25" t="s">
        <v>261</v>
      </c>
      <c r="D141" s="174">
        <f t="shared" si="5"/>
        <v>4.75</v>
      </c>
      <c r="E141" s="177">
        <v>4.75</v>
      </c>
      <c r="F141" s="177"/>
      <c r="G141" s="174">
        <f t="shared" si="25"/>
        <v>4.75</v>
      </c>
      <c r="H141" s="177">
        <v>4.75</v>
      </c>
      <c r="I141" s="181"/>
      <c r="J141" s="174">
        <f t="shared" si="26"/>
        <v>1.085</v>
      </c>
      <c r="K141" s="188">
        <f>0.5+0.585</f>
        <v>1.085</v>
      </c>
      <c r="L141" s="177"/>
      <c r="M141" s="10">
        <f t="shared" si="24"/>
        <v>22.842105263157894</v>
      </c>
      <c r="N141" s="10"/>
      <c r="O141" s="8" t="s">
        <v>262</v>
      </c>
      <c r="P141" s="24" t="s">
        <v>263</v>
      </c>
      <c r="Q141" s="15" t="s">
        <v>260</v>
      </c>
      <c r="R141" s="13"/>
    </row>
    <row r="142" spans="2:19" ht="96" x14ac:dyDescent="0.3">
      <c r="B142" s="8"/>
      <c r="C142" s="25" t="s">
        <v>264</v>
      </c>
      <c r="D142" s="174">
        <f t="shared" si="5"/>
        <v>15</v>
      </c>
      <c r="E142" s="177">
        <v>15</v>
      </c>
      <c r="F142" s="177"/>
      <c r="G142" s="174">
        <f t="shared" si="25"/>
        <v>15</v>
      </c>
      <c r="H142" s="177">
        <v>15</v>
      </c>
      <c r="I142" s="181"/>
      <c r="J142" s="174">
        <f t="shared" si="26"/>
        <v>3.2</v>
      </c>
      <c r="K142" s="188">
        <v>3.2</v>
      </c>
      <c r="L142" s="177"/>
      <c r="M142" s="10">
        <f t="shared" si="24"/>
        <v>21.333333333333336</v>
      </c>
      <c r="N142" s="10"/>
      <c r="O142" s="8" t="s">
        <v>265</v>
      </c>
      <c r="P142" s="24" t="s">
        <v>266</v>
      </c>
      <c r="Q142" s="61" t="s">
        <v>267</v>
      </c>
      <c r="R142" s="13"/>
    </row>
    <row r="143" spans="2:19" ht="48" x14ac:dyDescent="0.3">
      <c r="B143" s="8"/>
      <c r="C143" s="26" t="s">
        <v>268</v>
      </c>
      <c r="D143" s="174">
        <f t="shared" si="5"/>
        <v>549.6</v>
      </c>
      <c r="E143" s="177">
        <v>549.6</v>
      </c>
      <c r="F143" s="177"/>
      <c r="G143" s="174">
        <f t="shared" si="25"/>
        <v>549.6</v>
      </c>
      <c r="H143" s="177">
        <v>549.6</v>
      </c>
      <c r="I143" s="177"/>
      <c r="J143" s="174">
        <f t="shared" si="26"/>
        <v>549.6</v>
      </c>
      <c r="K143" s="188">
        <v>549.6</v>
      </c>
      <c r="L143" s="177"/>
      <c r="M143" s="10">
        <f t="shared" si="24"/>
        <v>100</v>
      </c>
      <c r="N143" s="10"/>
      <c r="O143" s="8" t="s">
        <v>269</v>
      </c>
      <c r="P143" s="30">
        <v>73</v>
      </c>
      <c r="Q143" s="6" t="s">
        <v>270</v>
      </c>
      <c r="R143" s="13"/>
    </row>
    <row r="144" spans="2:19" ht="72" x14ac:dyDescent="0.3">
      <c r="B144" s="8"/>
      <c r="C144" s="111" t="s">
        <v>640</v>
      </c>
      <c r="D144" s="174">
        <f t="shared" si="5"/>
        <v>8.1039999999999992</v>
      </c>
      <c r="E144" s="177">
        <v>8.1039999999999992</v>
      </c>
      <c r="F144" s="193"/>
      <c r="G144" s="174">
        <f t="shared" ref="G144" si="29">H144+I144</f>
        <v>8.1039999999999992</v>
      </c>
      <c r="H144" s="177">
        <v>8.1039999999999992</v>
      </c>
      <c r="I144" s="181"/>
      <c r="J144" s="174">
        <f t="shared" ref="J144" si="30">K144+L144</f>
        <v>0</v>
      </c>
      <c r="K144" s="188"/>
      <c r="L144" s="177"/>
      <c r="M144" s="10">
        <f t="shared" si="24"/>
        <v>0</v>
      </c>
      <c r="N144" s="10"/>
      <c r="O144" s="8" t="s">
        <v>523</v>
      </c>
      <c r="P144" s="30">
        <v>109</v>
      </c>
      <c r="Q144" s="6" t="s">
        <v>40</v>
      </c>
      <c r="R144" s="13"/>
    </row>
    <row r="145" spans="2:18" ht="48" x14ac:dyDescent="0.3">
      <c r="B145" s="8"/>
      <c r="C145" s="123" t="s">
        <v>661</v>
      </c>
      <c r="D145" s="174">
        <f t="shared" si="5"/>
        <v>34.56</v>
      </c>
      <c r="E145" s="177">
        <v>34.56</v>
      </c>
      <c r="F145" s="193"/>
      <c r="G145" s="174">
        <f t="shared" ref="G145" si="31">H145+I145</f>
        <v>138.24</v>
      </c>
      <c r="H145" s="177">
        <v>138.24</v>
      </c>
      <c r="I145" s="181"/>
      <c r="J145" s="174">
        <f t="shared" ref="J145" si="32">K145+L145</f>
        <v>0</v>
      </c>
      <c r="K145" s="188"/>
      <c r="L145" s="177"/>
      <c r="M145" s="10">
        <f t="shared" si="24"/>
        <v>0</v>
      </c>
      <c r="N145" s="10"/>
      <c r="O145" s="8" t="s">
        <v>524</v>
      </c>
      <c r="P145" s="30" t="s">
        <v>525</v>
      </c>
      <c r="Q145" s="115" t="s">
        <v>526</v>
      </c>
      <c r="R145" s="13"/>
    </row>
    <row r="146" spans="2:18" x14ac:dyDescent="0.3">
      <c r="B146" s="8"/>
      <c r="C146" s="99"/>
      <c r="D146" s="174">
        <f t="shared" si="5"/>
        <v>144.94007999999999</v>
      </c>
      <c r="E146" s="177">
        <v>144.94007999999999</v>
      </c>
      <c r="F146" s="193"/>
      <c r="G146" s="174"/>
      <c r="H146" s="177"/>
      <c r="I146" s="181"/>
      <c r="J146" s="174"/>
      <c r="K146" s="188"/>
      <c r="L146" s="177"/>
      <c r="M146" s="10">
        <f t="shared" si="24"/>
        <v>0</v>
      </c>
      <c r="N146" s="10"/>
      <c r="O146" s="8"/>
      <c r="P146" s="24"/>
      <c r="Q146" s="6"/>
      <c r="R146" s="13"/>
    </row>
    <row r="147" spans="2:18" x14ac:dyDescent="0.3">
      <c r="B147" s="8"/>
      <c r="C147" s="46" t="s">
        <v>41</v>
      </c>
      <c r="D147" s="173">
        <f t="shared" si="5"/>
        <v>757.34922999999992</v>
      </c>
      <c r="E147" s="187">
        <f>SUM(E140:E146)</f>
        <v>757.34922999999992</v>
      </c>
      <c r="F147" s="187">
        <f>SUM(F140:F143)</f>
        <v>0</v>
      </c>
      <c r="G147" s="173">
        <f t="shared" si="25"/>
        <v>569.74514999999997</v>
      </c>
      <c r="H147" s="187">
        <f>SUM(H140:H143)</f>
        <v>569.74514999999997</v>
      </c>
      <c r="I147" s="187">
        <f>SUM(I140:I143)</f>
        <v>0</v>
      </c>
      <c r="J147" s="173">
        <f t="shared" si="26"/>
        <v>554.28015000000005</v>
      </c>
      <c r="K147" s="187">
        <f>SUM(K140:K146)</f>
        <v>554.28015000000005</v>
      </c>
      <c r="L147" s="187">
        <f>SUM(L140:L146)</f>
        <v>0</v>
      </c>
      <c r="M147" s="75">
        <f t="shared" si="24"/>
        <v>73.186863872562483</v>
      </c>
      <c r="N147" s="10"/>
      <c r="O147" s="8"/>
      <c r="P147" s="11"/>
      <c r="Q147" s="12"/>
      <c r="R147" s="13"/>
    </row>
    <row r="148" spans="2:18" ht="60" x14ac:dyDescent="0.3">
      <c r="B148" s="21" t="s">
        <v>271</v>
      </c>
      <c r="C148" s="9" t="s">
        <v>272</v>
      </c>
      <c r="D148" s="173"/>
      <c r="E148" s="172"/>
      <c r="F148" s="172"/>
      <c r="G148" s="173"/>
      <c r="H148" s="174"/>
      <c r="I148" s="175"/>
      <c r="J148" s="173"/>
      <c r="K148" s="174"/>
      <c r="L148" s="174"/>
      <c r="M148" s="10"/>
      <c r="N148" s="10"/>
      <c r="O148" s="23"/>
      <c r="P148" s="17"/>
      <c r="Q148" s="23"/>
      <c r="R148" s="13"/>
    </row>
    <row r="149" spans="2:18" ht="48" x14ac:dyDescent="0.3">
      <c r="B149" s="21"/>
      <c r="C149" s="14" t="s">
        <v>273</v>
      </c>
      <c r="D149" s="174">
        <f t="shared" si="5"/>
        <v>21.910080000000001</v>
      </c>
      <c r="E149" s="174">
        <v>21.910080000000001</v>
      </c>
      <c r="F149" s="172"/>
      <c r="G149" s="174">
        <f t="shared" si="25"/>
        <v>21.910080000000001</v>
      </c>
      <c r="H149" s="174">
        <v>21.910080000000001</v>
      </c>
      <c r="I149" s="175"/>
      <c r="J149" s="174">
        <f t="shared" si="26"/>
        <v>21.910080000000001</v>
      </c>
      <c r="K149" s="174">
        <v>21.910080000000001</v>
      </c>
      <c r="L149" s="174"/>
      <c r="M149" s="10">
        <f t="shared" ref="M149:M253" si="33">J149/D149%</f>
        <v>100</v>
      </c>
      <c r="N149" s="10"/>
      <c r="O149" s="23" t="s">
        <v>274</v>
      </c>
      <c r="P149" s="17" t="s">
        <v>275</v>
      </c>
      <c r="Q149" s="15" t="s">
        <v>276</v>
      </c>
      <c r="R149" s="13"/>
    </row>
    <row r="150" spans="2:18" ht="48" x14ac:dyDescent="0.3">
      <c r="B150" s="21"/>
      <c r="C150" s="14" t="s">
        <v>277</v>
      </c>
      <c r="D150" s="174">
        <f t="shared" si="5"/>
        <v>252.79820999999998</v>
      </c>
      <c r="E150" s="181">
        <f>-27.21738+280.01559</f>
        <v>252.79820999999998</v>
      </c>
      <c r="F150" s="174"/>
      <c r="G150" s="174">
        <f t="shared" si="25"/>
        <v>438.98892000000001</v>
      </c>
      <c r="H150" s="181">
        <v>438.98892000000001</v>
      </c>
      <c r="I150" s="177"/>
      <c r="J150" s="174">
        <f t="shared" si="26"/>
        <v>245.51672000000002</v>
      </c>
      <c r="K150" s="177">
        <f>96.92072+148.596</f>
        <v>245.51672000000002</v>
      </c>
      <c r="L150" s="177"/>
      <c r="M150" s="149">
        <f>(J150+J151)/(D150+D151)%</f>
        <v>97.399612642996075</v>
      </c>
      <c r="N150" s="125">
        <v>100</v>
      </c>
      <c r="O150" s="156" t="s">
        <v>278</v>
      </c>
      <c r="P150" s="156" t="s">
        <v>279</v>
      </c>
      <c r="Q150" s="133" t="s">
        <v>280</v>
      </c>
      <c r="R150" s="153" t="s">
        <v>281</v>
      </c>
    </row>
    <row r="151" spans="2:18" ht="72" x14ac:dyDescent="0.3">
      <c r="B151" s="21"/>
      <c r="C151" s="14" t="s">
        <v>282</v>
      </c>
      <c r="D151" s="174">
        <f t="shared" si="5"/>
        <v>27.217379999999999</v>
      </c>
      <c r="E151" s="177">
        <v>27.217379999999999</v>
      </c>
      <c r="F151" s="174"/>
      <c r="G151" s="174">
        <f t="shared" si="25"/>
        <v>438.98892000000001</v>
      </c>
      <c r="H151" s="181">
        <v>438.98892000000001</v>
      </c>
      <c r="I151" s="177"/>
      <c r="J151" s="174">
        <f t="shared" si="26"/>
        <v>27.217379999999999</v>
      </c>
      <c r="K151" s="177">
        <v>27.217379999999999</v>
      </c>
      <c r="L151" s="177"/>
      <c r="M151" s="150"/>
      <c r="N151" s="126"/>
      <c r="O151" s="157"/>
      <c r="P151" s="157"/>
      <c r="Q151" s="134"/>
      <c r="R151" s="154"/>
    </row>
    <row r="152" spans="2:18" ht="60" x14ac:dyDescent="0.3">
      <c r="B152" s="21"/>
      <c r="C152" s="111" t="s">
        <v>641</v>
      </c>
      <c r="D152" s="174">
        <f t="shared" si="5"/>
        <v>99.332470000000001</v>
      </c>
      <c r="E152" s="177">
        <v>99.332470000000001</v>
      </c>
      <c r="F152" s="174"/>
      <c r="G152" s="174">
        <f t="shared" ref="G152" si="34">H152+I152</f>
        <v>99.332539999999995</v>
      </c>
      <c r="H152" s="181">
        <v>99.332539999999995</v>
      </c>
      <c r="I152" s="177"/>
      <c r="J152" s="174">
        <f t="shared" ref="J152" si="35">K152+L152</f>
        <v>0</v>
      </c>
      <c r="K152" s="177"/>
      <c r="L152" s="177"/>
      <c r="M152" s="10">
        <f t="shared" si="33"/>
        <v>0</v>
      </c>
      <c r="N152" s="10">
        <v>100</v>
      </c>
      <c r="O152" s="6" t="s">
        <v>527</v>
      </c>
      <c r="P152" s="101" t="s">
        <v>150</v>
      </c>
      <c r="Q152" s="109" t="s">
        <v>298</v>
      </c>
      <c r="R152" s="13"/>
    </row>
    <row r="153" spans="2:18" x14ac:dyDescent="0.3">
      <c r="B153" s="21"/>
      <c r="C153" s="111"/>
      <c r="D153" s="174">
        <f t="shared" si="5"/>
        <v>9.8999999999999999E-4</v>
      </c>
      <c r="E153" s="177">
        <v>9.8999999999999999E-4</v>
      </c>
      <c r="F153" s="174"/>
      <c r="G153" s="174"/>
      <c r="H153" s="181"/>
      <c r="I153" s="177"/>
      <c r="J153" s="174"/>
      <c r="K153" s="177"/>
      <c r="L153" s="177"/>
      <c r="M153" s="10"/>
      <c r="N153" s="10"/>
      <c r="O153" s="6"/>
      <c r="P153" s="101"/>
      <c r="Q153" s="109"/>
      <c r="R153" s="13"/>
    </row>
    <row r="154" spans="2:18" x14ac:dyDescent="0.3">
      <c r="B154" s="21"/>
      <c r="C154" s="9" t="s">
        <v>41</v>
      </c>
      <c r="D154" s="173">
        <f t="shared" si="5"/>
        <v>401.25912999999997</v>
      </c>
      <c r="E154" s="173">
        <f>SUM(E149:E153)</f>
        <v>401.25912999999997</v>
      </c>
      <c r="F154" s="173">
        <f>SUM(F149:F151)</f>
        <v>0</v>
      </c>
      <c r="G154" s="173">
        <f t="shared" si="25"/>
        <v>899.88792000000001</v>
      </c>
      <c r="H154" s="173">
        <f>SUM(H149:H151)</f>
        <v>899.88792000000001</v>
      </c>
      <c r="I154" s="173">
        <f>SUM(I149:I151)</f>
        <v>0</v>
      </c>
      <c r="J154" s="173">
        <f t="shared" si="26"/>
        <v>294.64418000000001</v>
      </c>
      <c r="K154" s="173">
        <f>SUM(K149:K151)</f>
        <v>294.64418000000001</v>
      </c>
      <c r="L154" s="173">
        <f>SUM(L149:L151)</f>
        <v>0</v>
      </c>
      <c r="M154" s="75">
        <f t="shared" si="33"/>
        <v>73.429900523384987</v>
      </c>
      <c r="N154" s="10"/>
      <c r="O154" s="21"/>
      <c r="P154" s="62"/>
      <c r="Q154" s="63"/>
      <c r="R154" s="13"/>
    </row>
    <row r="155" spans="2:18" ht="24" x14ac:dyDescent="0.3">
      <c r="B155" s="64" t="s">
        <v>283</v>
      </c>
      <c r="C155" s="65" t="s">
        <v>284</v>
      </c>
      <c r="D155" s="173"/>
      <c r="E155" s="174"/>
      <c r="F155" s="174"/>
      <c r="G155" s="173"/>
      <c r="H155" s="174"/>
      <c r="I155" s="174"/>
      <c r="J155" s="173"/>
      <c r="K155" s="174"/>
      <c r="L155" s="174"/>
      <c r="M155" s="10"/>
      <c r="N155" s="10"/>
      <c r="O155" s="8"/>
      <c r="P155" s="11"/>
      <c r="Q155" s="66"/>
      <c r="R155" s="13"/>
    </row>
    <row r="156" spans="2:18" ht="48" x14ac:dyDescent="0.3">
      <c r="B156" s="21"/>
      <c r="C156" s="14" t="s">
        <v>285</v>
      </c>
      <c r="D156" s="174">
        <f>E156+F156</f>
        <v>6.8377499999999998</v>
      </c>
      <c r="E156" s="174">
        <v>6.8377499999999998</v>
      </c>
      <c r="F156" s="174"/>
      <c r="G156" s="174">
        <f>H156+I156</f>
        <v>6.8377499999999998</v>
      </c>
      <c r="H156" s="181">
        <v>6.8377499999999998</v>
      </c>
      <c r="I156" s="177"/>
      <c r="J156" s="174">
        <f>K156+L156</f>
        <v>6.8377499999999998</v>
      </c>
      <c r="K156" s="174">
        <v>6.8377499999999998</v>
      </c>
      <c r="L156" s="174"/>
      <c r="M156" s="10">
        <f>J156/D156%</f>
        <v>100</v>
      </c>
      <c r="N156" s="10"/>
      <c r="O156" s="8" t="s">
        <v>286</v>
      </c>
      <c r="P156" s="11" t="s">
        <v>287</v>
      </c>
      <c r="Q156" s="66" t="s">
        <v>288</v>
      </c>
      <c r="R156" s="13"/>
    </row>
    <row r="157" spans="2:18" ht="48" x14ac:dyDescent="0.3">
      <c r="B157" s="21"/>
      <c r="C157" s="67" t="s">
        <v>289</v>
      </c>
      <c r="D157" s="174">
        <f>E157+F157</f>
        <v>62.932690000000001</v>
      </c>
      <c r="E157" s="181">
        <v>62.932690000000001</v>
      </c>
      <c r="F157" s="174"/>
      <c r="G157" s="174">
        <f>H157+I157</f>
        <v>62.932690000000001</v>
      </c>
      <c r="H157" s="181">
        <v>62.932690000000001</v>
      </c>
      <c r="I157" s="177"/>
      <c r="J157" s="174">
        <f>K157+L157</f>
        <v>60.23601</v>
      </c>
      <c r="K157" s="174">
        <v>60.23601</v>
      </c>
      <c r="L157" s="174"/>
      <c r="M157" s="10">
        <f>J157/D157%</f>
        <v>95.714977382978546</v>
      </c>
      <c r="N157" s="10">
        <v>100</v>
      </c>
      <c r="O157" s="8" t="s">
        <v>290</v>
      </c>
      <c r="P157" s="11" t="s">
        <v>291</v>
      </c>
      <c r="Q157" s="15" t="s">
        <v>292</v>
      </c>
      <c r="R157" s="13"/>
    </row>
    <row r="158" spans="2:18" x14ac:dyDescent="0.3">
      <c r="B158" s="21"/>
      <c r="C158" s="67"/>
      <c r="D158" s="174">
        <f>E158+F158</f>
        <v>0.23956</v>
      </c>
      <c r="E158" s="174">
        <v>0.23956</v>
      </c>
      <c r="F158" s="174"/>
      <c r="G158" s="174"/>
      <c r="H158" s="174"/>
      <c r="I158" s="174"/>
      <c r="J158" s="174"/>
      <c r="K158" s="174"/>
      <c r="L158" s="174"/>
      <c r="M158" s="10">
        <f>J158/D158%</f>
        <v>0</v>
      </c>
      <c r="N158" s="10"/>
      <c r="O158" s="8"/>
      <c r="P158" s="11"/>
      <c r="Q158" s="66"/>
      <c r="R158" s="13"/>
    </row>
    <row r="159" spans="2:18" x14ac:dyDescent="0.3">
      <c r="B159" s="21"/>
      <c r="C159" s="9" t="s">
        <v>41</v>
      </c>
      <c r="D159" s="173">
        <f>E159+F159</f>
        <v>70.010000000000005</v>
      </c>
      <c r="E159" s="173">
        <f t="shared" ref="E159:L159" si="36">SUM(E156:E158)</f>
        <v>70.010000000000005</v>
      </c>
      <c r="F159" s="173">
        <f t="shared" si="36"/>
        <v>0</v>
      </c>
      <c r="G159" s="173">
        <f t="shared" si="36"/>
        <v>69.770440000000008</v>
      </c>
      <c r="H159" s="173">
        <f t="shared" si="36"/>
        <v>69.770440000000008</v>
      </c>
      <c r="I159" s="173">
        <f t="shared" si="36"/>
        <v>0</v>
      </c>
      <c r="J159" s="173">
        <f t="shared" si="36"/>
        <v>67.073759999999993</v>
      </c>
      <c r="K159" s="173">
        <f t="shared" si="36"/>
        <v>67.073759999999993</v>
      </c>
      <c r="L159" s="173">
        <f t="shared" si="36"/>
        <v>0</v>
      </c>
      <c r="M159" s="75">
        <f>J159/D159%</f>
        <v>95.805970575632031</v>
      </c>
      <c r="N159" s="10"/>
      <c r="O159" s="8"/>
      <c r="P159" s="11"/>
      <c r="Q159" s="66"/>
      <c r="R159" s="13"/>
    </row>
    <row r="160" spans="2:18" x14ac:dyDescent="0.3">
      <c r="B160" s="21"/>
      <c r="C160" s="9"/>
      <c r="D160" s="173"/>
      <c r="E160" s="174"/>
      <c r="F160" s="174"/>
      <c r="G160" s="173"/>
      <c r="H160" s="174"/>
      <c r="I160" s="174"/>
      <c r="J160" s="173"/>
      <c r="K160" s="174"/>
      <c r="L160" s="174"/>
      <c r="M160" s="10"/>
      <c r="N160" s="10"/>
      <c r="O160" s="8"/>
      <c r="P160" s="11"/>
      <c r="Q160" s="66"/>
      <c r="R160" s="13"/>
    </row>
    <row r="161" spans="2:19" ht="24" x14ac:dyDescent="0.3">
      <c r="B161" s="21" t="s">
        <v>293</v>
      </c>
      <c r="C161" s="9" t="s">
        <v>294</v>
      </c>
      <c r="D161" s="173"/>
      <c r="E161" s="172"/>
      <c r="F161" s="172"/>
      <c r="G161" s="173"/>
      <c r="H161" s="174"/>
      <c r="I161" s="175"/>
      <c r="J161" s="173"/>
      <c r="K161" s="174"/>
      <c r="L161" s="174"/>
      <c r="M161" s="10"/>
      <c r="N161" s="10"/>
      <c r="O161" s="23"/>
      <c r="P161" s="17"/>
      <c r="Q161" s="23"/>
      <c r="R161" s="13"/>
    </row>
    <row r="162" spans="2:19" ht="60" x14ac:dyDescent="0.3">
      <c r="B162" s="8"/>
      <c r="C162" s="14" t="s">
        <v>295</v>
      </c>
      <c r="D162" s="174">
        <f t="shared" ref="D162:D270" si="37">E162+F162</f>
        <v>28.761430000000001</v>
      </c>
      <c r="E162" s="177">
        <v>13.34158</v>
      </c>
      <c r="F162" s="177">
        <v>15.41985</v>
      </c>
      <c r="G162" s="174">
        <f t="shared" ref="G162:G270" si="38">H162+I162</f>
        <v>28.761430000000001</v>
      </c>
      <c r="H162" s="177">
        <v>13.34158</v>
      </c>
      <c r="I162" s="177">
        <v>15.41985</v>
      </c>
      <c r="J162" s="174">
        <f t="shared" ref="J162:J270" si="39">K162+L162</f>
        <v>28.761430000000001</v>
      </c>
      <c r="K162" s="177">
        <v>13.34158</v>
      </c>
      <c r="L162" s="177">
        <v>15.41985</v>
      </c>
      <c r="M162" s="10">
        <f t="shared" si="33"/>
        <v>100</v>
      </c>
      <c r="N162" s="10"/>
      <c r="O162" s="129" t="s">
        <v>296</v>
      </c>
      <c r="P162" s="131" t="s">
        <v>297</v>
      </c>
      <c r="Q162" s="133" t="s">
        <v>298</v>
      </c>
      <c r="R162" s="13" t="s">
        <v>299</v>
      </c>
    </row>
    <row r="163" spans="2:19" ht="48" x14ac:dyDescent="0.3">
      <c r="B163" s="8"/>
      <c r="C163" s="14" t="s">
        <v>300</v>
      </c>
      <c r="D163" s="174">
        <f t="shared" si="37"/>
        <v>15.91757</v>
      </c>
      <c r="E163" s="177">
        <v>6.2798400000000001</v>
      </c>
      <c r="F163" s="177">
        <v>9.6377299999999995</v>
      </c>
      <c r="G163" s="174">
        <f t="shared" si="38"/>
        <v>18.358309999999999</v>
      </c>
      <c r="H163" s="177">
        <f>6.27984+2.44074</f>
        <v>8.72058</v>
      </c>
      <c r="I163" s="177">
        <v>9.6377299999999995</v>
      </c>
      <c r="J163" s="174">
        <f t="shared" si="39"/>
        <v>15.91757</v>
      </c>
      <c r="K163" s="177">
        <v>6.2798400000000001</v>
      </c>
      <c r="L163" s="177">
        <v>9.6377299999999995</v>
      </c>
      <c r="M163" s="10">
        <f t="shared" si="33"/>
        <v>100</v>
      </c>
      <c r="N163" s="10">
        <v>20</v>
      </c>
      <c r="O163" s="135"/>
      <c r="P163" s="136"/>
      <c r="Q163" s="137"/>
      <c r="R163" s="13" t="s">
        <v>301</v>
      </c>
    </row>
    <row r="164" spans="2:19" ht="60" x14ac:dyDescent="0.3">
      <c r="B164" s="8"/>
      <c r="C164" s="14" t="s">
        <v>302</v>
      </c>
      <c r="D164" s="174">
        <f t="shared" si="37"/>
        <v>36.980460000000001</v>
      </c>
      <c r="E164" s="177">
        <v>17.813269999999999</v>
      </c>
      <c r="F164" s="177">
        <v>19.167190000000002</v>
      </c>
      <c r="G164" s="174">
        <f t="shared" si="38"/>
        <v>38.156100000000002</v>
      </c>
      <c r="H164" s="177">
        <f>17.81327+1.17564</f>
        <v>18.988910000000001</v>
      </c>
      <c r="I164" s="177">
        <v>19.167190000000002</v>
      </c>
      <c r="J164" s="174">
        <f t="shared" si="39"/>
        <v>36.980460000000001</v>
      </c>
      <c r="K164" s="177">
        <v>17.813269999999999</v>
      </c>
      <c r="L164" s="177">
        <v>19.167190000000002</v>
      </c>
      <c r="M164" s="10">
        <f t="shared" si="33"/>
        <v>100</v>
      </c>
      <c r="N164" s="10">
        <v>20</v>
      </c>
      <c r="O164" s="130"/>
      <c r="P164" s="132"/>
      <c r="Q164" s="134"/>
      <c r="R164" s="13" t="s">
        <v>303</v>
      </c>
      <c r="S164" s="93"/>
    </row>
    <row r="165" spans="2:19" ht="72" x14ac:dyDescent="0.3">
      <c r="B165" s="8"/>
      <c r="C165" s="14" t="s">
        <v>304</v>
      </c>
      <c r="D165" s="174">
        <f t="shared" si="37"/>
        <v>20.73424</v>
      </c>
      <c r="E165" s="177">
        <v>1.16144</v>
      </c>
      <c r="F165" s="177">
        <v>19.572800000000001</v>
      </c>
      <c r="G165" s="174">
        <f t="shared" si="38"/>
        <v>21.360130000000002</v>
      </c>
      <c r="H165" s="177">
        <v>1.7873300000000001</v>
      </c>
      <c r="I165" s="177">
        <v>19.572800000000001</v>
      </c>
      <c r="J165" s="174">
        <f t="shared" si="39"/>
        <v>20.73424</v>
      </c>
      <c r="K165" s="177">
        <v>1.16144</v>
      </c>
      <c r="L165" s="177">
        <v>19.572800000000001</v>
      </c>
      <c r="M165" s="10">
        <f t="shared" si="33"/>
        <v>100</v>
      </c>
      <c r="N165" s="68">
        <v>20</v>
      </c>
      <c r="O165" s="129" t="s">
        <v>305</v>
      </c>
      <c r="P165" s="131" t="s">
        <v>306</v>
      </c>
      <c r="Q165" s="142" t="s">
        <v>307</v>
      </c>
      <c r="R165" s="55"/>
    </row>
    <row r="166" spans="2:19" ht="60" x14ac:dyDescent="0.3">
      <c r="B166" s="8"/>
      <c r="C166" s="14" t="s">
        <v>308</v>
      </c>
      <c r="D166" s="174">
        <f t="shared" si="37"/>
        <v>18.34684</v>
      </c>
      <c r="E166" s="193">
        <f>0.74346+1.44785+6.51795</f>
        <v>8.7092600000000004</v>
      </c>
      <c r="F166" s="177">
        <v>9.6375799999999998</v>
      </c>
      <c r="G166" s="174">
        <f t="shared" si="38"/>
        <v>18.12078</v>
      </c>
      <c r="H166" s="193">
        <v>8.4832000000000001</v>
      </c>
      <c r="I166" s="177">
        <v>9.6375799999999998</v>
      </c>
      <c r="J166" s="174">
        <f t="shared" si="39"/>
        <v>18.34684</v>
      </c>
      <c r="K166" s="193">
        <f>0.74346+1.44785+6.51795</f>
        <v>8.7092600000000004</v>
      </c>
      <c r="L166" s="177">
        <v>9.6375799999999998</v>
      </c>
      <c r="M166" s="10">
        <f t="shared" si="33"/>
        <v>100</v>
      </c>
      <c r="N166" s="68">
        <v>30</v>
      </c>
      <c r="O166" s="135"/>
      <c r="P166" s="136"/>
      <c r="Q166" s="143"/>
      <c r="R166" s="13"/>
    </row>
    <row r="167" spans="2:19" ht="72" x14ac:dyDescent="0.3">
      <c r="B167" s="8"/>
      <c r="C167" s="14" t="s">
        <v>309</v>
      </c>
      <c r="D167" s="174">
        <f t="shared" si="37"/>
        <v>17.280919999999998</v>
      </c>
      <c r="E167" s="193">
        <v>7.6309399999999998</v>
      </c>
      <c r="F167" s="177">
        <v>9.6499799999999993</v>
      </c>
      <c r="G167" s="174">
        <f t="shared" si="38"/>
        <v>17.50093</v>
      </c>
      <c r="H167" s="193">
        <v>7.8509500000000001</v>
      </c>
      <c r="I167" s="177">
        <v>9.6499799999999993</v>
      </c>
      <c r="J167" s="174">
        <f t="shared" si="39"/>
        <v>17.280919999999998</v>
      </c>
      <c r="K167" s="193">
        <v>7.6309399999999998</v>
      </c>
      <c r="L167" s="177">
        <v>9.6499799999999993</v>
      </c>
      <c r="M167" s="10">
        <f t="shared" si="33"/>
        <v>99.999999999999986</v>
      </c>
      <c r="N167" s="68">
        <v>30</v>
      </c>
      <c r="O167" s="135"/>
      <c r="P167" s="136"/>
      <c r="Q167" s="143"/>
      <c r="R167" s="13"/>
    </row>
    <row r="168" spans="2:19" ht="72" x14ac:dyDescent="0.3">
      <c r="B168" s="8"/>
      <c r="C168" s="14" t="s">
        <v>310</v>
      </c>
      <c r="D168" s="174">
        <f t="shared" si="37"/>
        <v>12.410070000000001</v>
      </c>
      <c r="E168" s="177">
        <f>2.36062+1.09412</f>
        <v>3.4547400000000001</v>
      </c>
      <c r="F168" s="177">
        <v>8.95533</v>
      </c>
      <c r="G168" s="174">
        <f t="shared" si="38"/>
        <v>13.50207</v>
      </c>
      <c r="H168" s="177">
        <v>4.5467399999999998</v>
      </c>
      <c r="I168" s="177">
        <v>8.95533</v>
      </c>
      <c r="J168" s="174">
        <f t="shared" si="39"/>
        <v>12.410070000000001</v>
      </c>
      <c r="K168" s="177">
        <f>2.36062+1.09412</f>
        <v>3.4547400000000001</v>
      </c>
      <c r="L168" s="177">
        <v>8.95533</v>
      </c>
      <c r="M168" s="10">
        <f t="shared" si="33"/>
        <v>100</v>
      </c>
      <c r="N168" s="68">
        <v>10</v>
      </c>
      <c r="O168" s="135"/>
      <c r="P168" s="136"/>
      <c r="Q168" s="143"/>
      <c r="R168" s="13"/>
    </row>
    <row r="169" spans="2:19" ht="72" x14ac:dyDescent="0.3">
      <c r="B169" s="8"/>
      <c r="C169" s="14" t="s">
        <v>311</v>
      </c>
      <c r="D169" s="174">
        <f t="shared" si="37"/>
        <v>16.475969999999997</v>
      </c>
      <c r="E169" s="177">
        <f>4.00911+2.81115</f>
        <v>6.8202599999999993</v>
      </c>
      <c r="F169" s="177">
        <v>9.6557099999999991</v>
      </c>
      <c r="G169" s="174">
        <f t="shared" si="38"/>
        <v>17.182980000000001</v>
      </c>
      <c r="H169" s="177">
        <v>7.5272699999999997</v>
      </c>
      <c r="I169" s="177">
        <v>9.6557099999999991</v>
      </c>
      <c r="J169" s="174">
        <f t="shared" si="39"/>
        <v>16.475969999999997</v>
      </c>
      <c r="K169" s="177">
        <f>4.00911+2.81115</f>
        <v>6.8202599999999993</v>
      </c>
      <c r="L169" s="177">
        <v>9.6557099999999991</v>
      </c>
      <c r="M169" s="10">
        <f t="shared" si="33"/>
        <v>100.00000000000001</v>
      </c>
      <c r="N169" s="68"/>
      <c r="O169" s="135"/>
      <c r="P169" s="136"/>
      <c r="Q169" s="143"/>
      <c r="R169" s="13"/>
    </row>
    <row r="170" spans="2:19" ht="48" x14ac:dyDescent="0.3">
      <c r="B170" s="8"/>
      <c r="C170" s="14" t="s">
        <v>312</v>
      </c>
      <c r="D170" s="174">
        <f t="shared" si="37"/>
        <v>2.9590399999999999</v>
      </c>
      <c r="E170" s="177">
        <v>2.9590399999999999</v>
      </c>
      <c r="F170" s="179"/>
      <c r="G170" s="174">
        <f t="shared" si="38"/>
        <v>17.944789999999998</v>
      </c>
      <c r="H170" s="177">
        <v>8.3036899999999996</v>
      </c>
      <c r="I170" s="177">
        <v>9.6410999999999998</v>
      </c>
      <c r="J170" s="174">
        <f t="shared" si="39"/>
        <v>2.9590399999999999</v>
      </c>
      <c r="K170" s="177">
        <f>0.80739+2.15165</f>
        <v>2.9590399999999999</v>
      </c>
      <c r="L170" s="177"/>
      <c r="M170" s="10">
        <f t="shared" si="33"/>
        <v>100</v>
      </c>
      <c r="N170" s="68">
        <v>17</v>
      </c>
      <c r="O170" s="130"/>
      <c r="P170" s="132"/>
      <c r="Q170" s="144"/>
      <c r="R170" s="13" t="s">
        <v>313</v>
      </c>
      <c r="S170" s="93"/>
    </row>
    <row r="171" spans="2:19" ht="48" x14ac:dyDescent="0.3">
      <c r="B171" s="8"/>
      <c r="C171" s="14" t="s">
        <v>314</v>
      </c>
      <c r="D171" s="174">
        <f t="shared" si="37"/>
        <v>24.63457</v>
      </c>
      <c r="E171" s="177">
        <v>9.2565299999999997</v>
      </c>
      <c r="F171" s="179">
        <v>15.37804</v>
      </c>
      <c r="G171" s="174">
        <f t="shared" si="38"/>
        <v>31.098190000000002</v>
      </c>
      <c r="H171" s="177">
        <v>15.72015</v>
      </c>
      <c r="I171" s="177">
        <v>15.37804</v>
      </c>
      <c r="J171" s="174">
        <f t="shared" si="39"/>
        <v>24.63457</v>
      </c>
      <c r="K171" s="177">
        <v>9.2565299999999997</v>
      </c>
      <c r="L171" s="177">
        <v>15.37804</v>
      </c>
      <c r="M171" s="10">
        <f t="shared" si="33"/>
        <v>100</v>
      </c>
      <c r="N171" s="68"/>
      <c r="O171" s="129" t="s">
        <v>315</v>
      </c>
      <c r="P171" s="131" t="s">
        <v>316</v>
      </c>
      <c r="Q171" s="133" t="s">
        <v>317</v>
      </c>
      <c r="R171" s="13"/>
    </row>
    <row r="172" spans="2:19" ht="60" x14ac:dyDescent="0.3">
      <c r="B172" s="8"/>
      <c r="C172" s="14" t="s">
        <v>318</v>
      </c>
      <c r="D172" s="174">
        <f t="shared" si="37"/>
        <v>36.36515</v>
      </c>
      <c r="E172" s="177">
        <v>17.14648</v>
      </c>
      <c r="F172" s="179">
        <v>19.218669999999999</v>
      </c>
      <c r="G172" s="174">
        <f t="shared" si="38"/>
        <v>39.066450000000003</v>
      </c>
      <c r="H172" s="177">
        <f>19.84778</f>
        <v>19.84778</v>
      </c>
      <c r="I172" s="177">
        <v>19.218669999999999</v>
      </c>
      <c r="J172" s="174">
        <f t="shared" si="39"/>
        <v>36.36515</v>
      </c>
      <c r="K172" s="177">
        <v>17.14648</v>
      </c>
      <c r="L172" s="177">
        <v>19.218669999999999</v>
      </c>
      <c r="M172" s="125">
        <f t="shared" si="33"/>
        <v>100</v>
      </c>
      <c r="N172" s="68"/>
      <c r="O172" s="130"/>
      <c r="P172" s="132"/>
      <c r="Q172" s="134"/>
      <c r="R172" s="13"/>
    </row>
    <row r="173" spans="2:19" ht="48" x14ac:dyDescent="0.3">
      <c r="B173" s="8"/>
      <c r="C173" s="70" t="s">
        <v>319</v>
      </c>
      <c r="D173" s="174">
        <f t="shared" si="37"/>
        <v>29.086930000000002</v>
      </c>
      <c r="E173" s="177">
        <v>19.959540000000001</v>
      </c>
      <c r="F173" s="179">
        <v>9.1273900000000001</v>
      </c>
      <c r="G173" s="174">
        <f t="shared" si="38"/>
        <v>29.086930000000002</v>
      </c>
      <c r="H173" s="177">
        <v>19.959540000000001</v>
      </c>
      <c r="I173" s="179">
        <v>9.1273900000000001</v>
      </c>
      <c r="J173" s="174">
        <f t="shared" si="39"/>
        <v>25.142240000000001</v>
      </c>
      <c r="K173" s="177">
        <f>2.70079+12.05695+1.25711</f>
        <v>16.014849999999999</v>
      </c>
      <c r="L173" s="177">
        <v>9.1273900000000001</v>
      </c>
      <c r="M173" s="10">
        <f t="shared" si="33"/>
        <v>86.438273135047254</v>
      </c>
      <c r="N173" s="10">
        <v>100</v>
      </c>
      <c r="O173" s="129" t="s">
        <v>320</v>
      </c>
      <c r="P173" s="162" t="s">
        <v>321</v>
      </c>
      <c r="Q173" s="131" t="s">
        <v>322</v>
      </c>
      <c r="R173" s="153"/>
    </row>
    <row r="174" spans="2:19" ht="24" x14ac:dyDescent="0.3">
      <c r="B174" s="8"/>
      <c r="C174" s="70" t="s">
        <v>323</v>
      </c>
      <c r="D174" s="174">
        <f t="shared" si="37"/>
        <v>29.063469999999999</v>
      </c>
      <c r="E174" s="179">
        <v>19.935369999999999</v>
      </c>
      <c r="F174" s="177">
        <v>9.1280999999999999</v>
      </c>
      <c r="G174" s="174">
        <f t="shared" si="38"/>
        <v>29.063469999999999</v>
      </c>
      <c r="H174" s="179">
        <v>19.935369999999999</v>
      </c>
      <c r="I174" s="177">
        <v>9.1280999999999999</v>
      </c>
      <c r="J174" s="174">
        <f t="shared" si="39"/>
        <v>25.153210000000001</v>
      </c>
      <c r="K174" s="177">
        <f>2.75029+12.01715+1.25767</f>
        <v>16.025110000000002</v>
      </c>
      <c r="L174" s="177">
        <v>9.1280999999999999</v>
      </c>
      <c r="M174" s="10">
        <f t="shared" si="33"/>
        <v>86.545790987793282</v>
      </c>
      <c r="N174" s="10">
        <v>100</v>
      </c>
      <c r="O174" s="130"/>
      <c r="P174" s="163"/>
      <c r="Q174" s="132"/>
      <c r="R174" s="154"/>
    </row>
    <row r="175" spans="2:19" ht="60" x14ac:dyDescent="0.3">
      <c r="B175" s="8"/>
      <c r="C175" s="70" t="s">
        <v>324</v>
      </c>
      <c r="D175" s="174">
        <f t="shared" si="37"/>
        <v>33.840000000000003</v>
      </c>
      <c r="E175" s="177"/>
      <c r="F175" s="177">
        <f>3.24+1.8+3.6+4.5+1.8+18.9</f>
        <v>33.840000000000003</v>
      </c>
      <c r="G175" s="174">
        <f t="shared" si="38"/>
        <v>33.840000000000003</v>
      </c>
      <c r="H175" s="177"/>
      <c r="I175" s="177">
        <f>3.24+1.8+3.6+4.5+1.8+18.9</f>
        <v>33.840000000000003</v>
      </c>
      <c r="J175" s="174">
        <f t="shared" si="39"/>
        <v>16.932749999999999</v>
      </c>
      <c r="K175" s="177"/>
      <c r="L175" s="177">
        <f>3.39048+4.53638+3.24+1.39775+1.74738+2.62076</f>
        <v>16.932749999999999</v>
      </c>
      <c r="M175" s="10">
        <f t="shared" si="33"/>
        <v>50.037677304964532</v>
      </c>
      <c r="N175" s="10"/>
      <c r="O175" s="8" t="s">
        <v>325</v>
      </c>
      <c r="P175" s="58">
        <v>54</v>
      </c>
      <c r="Q175" s="7" t="s">
        <v>326</v>
      </c>
      <c r="R175" s="13"/>
    </row>
    <row r="176" spans="2:19" ht="60" x14ac:dyDescent="0.3">
      <c r="B176" s="8"/>
      <c r="C176" s="70" t="s">
        <v>490</v>
      </c>
      <c r="D176" s="174">
        <f t="shared" si="37"/>
        <v>46.531570000000002</v>
      </c>
      <c r="E176" s="177">
        <f>1.95787+22.59554+7.37411</f>
        <v>31.927520000000001</v>
      </c>
      <c r="F176" s="177">
        <v>14.604050000000001</v>
      </c>
      <c r="G176" s="174">
        <f t="shared" si="38"/>
        <v>46.531570000000002</v>
      </c>
      <c r="H176" s="177">
        <v>31.927520000000001</v>
      </c>
      <c r="I176" s="177">
        <v>14.604050000000001</v>
      </c>
      <c r="J176" s="174">
        <f t="shared" si="39"/>
        <v>39.15746</v>
      </c>
      <c r="K176" s="177">
        <f>1.95787+22.59554</f>
        <v>24.55341</v>
      </c>
      <c r="L176" s="177">
        <v>14.604050000000001</v>
      </c>
      <c r="M176" s="10">
        <f t="shared" si="33"/>
        <v>84.152458212778981</v>
      </c>
      <c r="N176" s="10">
        <v>100</v>
      </c>
      <c r="O176" s="8" t="s">
        <v>330</v>
      </c>
      <c r="P176" s="58">
        <v>79</v>
      </c>
      <c r="Q176" s="58" t="s">
        <v>489</v>
      </c>
      <c r="R176" s="13"/>
      <c r="S176" s="93"/>
    </row>
    <row r="177" spans="2:19" ht="48" x14ac:dyDescent="0.3">
      <c r="B177" s="8"/>
      <c r="C177" s="59" t="s">
        <v>329</v>
      </c>
      <c r="D177" s="174">
        <f t="shared" ref="D177:D188" si="40">E177+F177</f>
        <v>26.28</v>
      </c>
      <c r="E177" s="177"/>
      <c r="F177" s="177">
        <f>1.8+1.44+9.72+13.32</f>
        <v>26.28</v>
      </c>
      <c r="G177" s="174">
        <f t="shared" ref="G177:G188" si="41">H177+I177</f>
        <v>26.28</v>
      </c>
      <c r="H177" s="177"/>
      <c r="I177" s="177">
        <f>1.8+1.44+9.72+13.32</f>
        <v>26.28</v>
      </c>
      <c r="J177" s="174">
        <f t="shared" ref="J177:J188" si="42">K177+L177</f>
        <v>23.963049999999996</v>
      </c>
      <c r="K177" s="177"/>
      <c r="L177" s="177">
        <f>9.72+1.20779+1.44+6.11777+1.02442+1.74666+2.78664-0.08023</f>
        <v>23.963049999999996</v>
      </c>
      <c r="M177" s="10">
        <f t="shared" si="33"/>
        <v>91.183599695585968</v>
      </c>
      <c r="N177" s="10"/>
      <c r="O177" s="8" t="s">
        <v>330</v>
      </c>
      <c r="P177" s="59" t="s">
        <v>331</v>
      </c>
      <c r="Q177" s="58" t="s">
        <v>332</v>
      </c>
      <c r="R177" s="13"/>
    </row>
    <row r="178" spans="2:19" ht="36" x14ac:dyDescent="0.3">
      <c r="B178" s="8"/>
      <c r="C178" s="70" t="s">
        <v>491</v>
      </c>
      <c r="D178" s="174">
        <f t="shared" si="40"/>
        <v>46.599260000000001</v>
      </c>
      <c r="E178" s="177">
        <v>31.997240000000001</v>
      </c>
      <c r="F178" s="177">
        <v>14.60202</v>
      </c>
      <c r="G178" s="174">
        <f t="shared" si="41"/>
        <v>46.599260000000001</v>
      </c>
      <c r="H178" s="177">
        <v>31.997240000000001</v>
      </c>
      <c r="I178" s="177">
        <v>14.60202</v>
      </c>
      <c r="J178" s="174">
        <f t="shared" si="42"/>
        <v>40.71293</v>
      </c>
      <c r="K178" s="177">
        <v>26.110910000000001</v>
      </c>
      <c r="L178" s="177">
        <v>14.60202</v>
      </c>
      <c r="M178" s="10">
        <f t="shared" si="33"/>
        <v>87.368189966965133</v>
      </c>
      <c r="N178" s="10">
        <v>100</v>
      </c>
      <c r="O178" s="129" t="s">
        <v>587</v>
      </c>
      <c r="P178" s="162" t="s">
        <v>492</v>
      </c>
      <c r="Q178" s="162" t="s">
        <v>493</v>
      </c>
      <c r="R178" s="13"/>
    </row>
    <row r="179" spans="2:19" ht="48" x14ac:dyDescent="0.3">
      <c r="B179" s="8"/>
      <c r="C179" s="59" t="s">
        <v>494</v>
      </c>
      <c r="D179" s="174">
        <f t="shared" ref="D179" si="43">E179+F179</f>
        <v>40.259779999999999</v>
      </c>
      <c r="E179" s="177">
        <v>21.467569999999998</v>
      </c>
      <c r="F179" s="177">
        <v>18.792210000000001</v>
      </c>
      <c r="G179" s="174">
        <f t="shared" ref="G179" si="44">H179+I179</f>
        <v>40.259779999999999</v>
      </c>
      <c r="H179" s="177">
        <v>21.467569999999998</v>
      </c>
      <c r="I179" s="177">
        <v>18.792210000000001</v>
      </c>
      <c r="J179" s="174">
        <f t="shared" ref="J179" si="45">K179+L179</f>
        <v>16.603999999999999</v>
      </c>
      <c r="K179" s="177"/>
      <c r="L179" s="177">
        <v>16.603999999999999</v>
      </c>
      <c r="M179" s="10">
        <f t="shared" si="33"/>
        <v>41.242152838391064</v>
      </c>
      <c r="N179" s="10">
        <v>90</v>
      </c>
      <c r="O179" s="130"/>
      <c r="P179" s="163"/>
      <c r="Q179" s="163"/>
      <c r="R179" s="13"/>
    </row>
    <row r="180" spans="2:19" ht="72" x14ac:dyDescent="0.3">
      <c r="B180" s="8"/>
      <c r="C180" s="59" t="s">
        <v>586</v>
      </c>
      <c r="D180" s="174">
        <f t="shared" si="40"/>
        <v>29.1113</v>
      </c>
      <c r="E180" s="177">
        <v>19.984639999999999</v>
      </c>
      <c r="F180" s="177">
        <v>9.1266599999999993</v>
      </c>
      <c r="G180" s="174">
        <f t="shared" si="41"/>
        <v>29.1113</v>
      </c>
      <c r="H180" s="177">
        <v>19.984639999999999</v>
      </c>
      <c r="I180" s="177">
        <v>9.1266599999999993</v>
      </c>
      <c r="J180" s="174">
        <f t="shared" si="42"/>
        <v>27.197000000000003</v>
      </c>
      <c r="K180" s="177">
        <v>18.150210000000001</v>
      </c>
      <c r="L180" s="177">
        <v>9.0467899999999997</v>
      </c>
      <c r="M180" s="10">
        <f t="shared" si="33"/>
        <v>93.424202972728807</v>
      </c>
      <c r="N180" s="10">
        <v>100</v>
      </c>
      <c r="O180" s="129" t="s">
        <v>584</v>
      </c>
      <c r="P180" s="162">
        <v>100</v>
      </c>
      <c r="Q180" s="162" t="s">
        <v>134</v>
      </c>
      <c r="R180" s="100"/>
      <c r="S180" s="93"/>
    </row>
    <row r="181" spans="2:19" ht="48" x14ac:dyDescent="0.3">
      <c r="B181" s="8"/>
      <c r="C181" s="59" t="s">
        <v>502</v>
      </c>
      <c r="D181" s="174">
        <f>E181+F181</f>
        <v>44.221239999999995</v>
      </c>
      <c r="E181" s="177">
        <v>25.547879999999999</v>
      </c>
      <c r="F181" s="177">
        <v>18.673359999999999</v>
      </c>
      <c r="G181" s="174">
        <f t="shared" si="41"/>
        <v>44.221239999999995</v>
      </c>
      <c r="H181" s="177">
        <v>25.547879999999999</v>
      </c>
      <c r="I181" s="177">
        <v>18.673359999999999</v>
      </c>
      <c r="J181" s="174">
        <f t="shared" si="42"/>
        <v>32.797049999999999</v>
      </c>
      <c r="K181" s="177">
        <v>14.12369</v>
      </c>
      <c r="L181" s="177">
        <v>18.673359999999999</v>
      </c>
      <c r="M181" s="10">
        <f t="shared" si="33"/>
        <v>74.165830718451133</v>
      </c>
      <c r="N181" s="10">
        <v>95</v>
      </c>
      <c r="O181" s="135"/>
      <c r="P181" s="164"/>
      <c r="Q181" s="164"/>
      <c r="R181" s="100"/>
      <c r="S181" s="93"/>
    </row>
    <row r="182" spans="2:19" ht="48" x14ac:dyDescent="0.3">
      <c r="B182" s="8"/>
      <c r="C182" s="59" t="s">
        <v>507</v>
      </c>
      <c r="D182" s="174">
        <f t="shared" ref="D182:D183" si="46">E182+F182</f>
        <v>55.03969</v>
      </c>
      <c r="E182" s="177">
        <v>36.69088</v>
      </c>
      <c r="F182" s="177">
        <v>18.34881</v>
      </c>
      <c r="G182" s="174">
        <f t="shared" ref="G182:G183" si="47">H182+I182</f>
        <v>55.03969</v>
      </c>
      <c r="H182" s="177">
        <v>36.69088</v>
      </c>
      <c r="I182" s="177">
        <v>18.34881</v>
      </c>
      <c r="J182" s="174">
        <f t="shared" ref="J182:J183" si="48">K182+L182</f>
        <v>18.691220000000001</v>
      </c>
      <c r="K182" s="177">
        <v>0.34240999999999999</v>
      </c>
      <c r="L182" s="177">
        <v>18.34881</v>
      </c>
      <c r="M182" s="10">
        <f t="shared" si="33"/>
        <v>33.959529931945475</v>
      </c>
      <c r="N182" s="10">
        <v>90</v>
      </c>
      <c r="O182" s="135"/>
      <c r="P182" s="164"/>
      <c r="Q182" s="164"/>
      <c r="R182" s="105"/>
    </row>
    <row r="183" spans="2:19" ht="24" x14ac:dyDescent="0.3">
      <c r="B183" s="8"/>
      <c r="C183" s="59" t="s">
        <v>585</v>
      </c>
      <c r="D183" s="174">
        <f t="shared" si="46"/>
        <v>46.277070000000002</v>
      </c>
      <c r="E183" s="177">
        <v>31.665700000000001</v>
      </c>
      <c r="F183" s="177">
        <v>14.611370000000001</v>
      </c>
      <c r="G183" s="174">
        <f t="shared" si="47"/>
        <v>46.287729999999996</v>
      </c>
      <c r="H183" s="177">
        <v>31.676359999999999</v>
      </c>
      <c r="I183" s="177">
        <v>14.611370000000001</v>
      </c>
      <c r="J183" s="174">
        <f t="shared" si="48"/>
        <v>0</v>
      </c>
      <c r="K183" s="177"/>
      <c r="L183" s="177"/>
      <c r="M183" s="10">
        <f t="shared" si="33"/>
        <v>0</v>
      </c>
      <c r="N183" s="10">
        <v>50</v>
      </c>
      <c r="O183" s="135"/>
      <c r="P183" s="164"/>
      <c r="Q183" s="164"/>
      <c r="R183" s="105"/>
    </row>
    <row r="184" spans="2:19" ht="48" x14ac:dyDescent="0.3">
      <c r="B184" s="8"/>
      <c r="C184" s="59" t="s">
        <v>495</v>
      </c>
      <c r="D184" s="174">
        <f t="shared" si="40"/>
        <v>46.554070000000003</v>
      </c>
      <c r="E184" s="177">
        <v>31.950690000000002</v>
      </c>
      <c r="F184" s="177">
        <v>14.60338</v>
      </c>
      <c r="G184" s="174">
        <f t="shared" si="41"/>
        <v>46.554070000000003</v>
      </c>
      <c r="H184" s="177">
        <v>31.950690000000002</v>
      </c>
      <c r="I184" s="177">
        <v>14.60338</v>
      </c>
      <c r="J184" s="174">
        <f t="shared" si="42"/>
        <v>44.873950000000001</v>
      </c>
      <c r="K184" s="177">
        <v>30.270569999999999</v>
      </c>
      <c r="L184" s="177">
        <v>14.60338</v>
      </c>
      <c r="M184" s="10">
        <f t="shared" si="33"/>
        <v>96.391035198426252</v>
      </c>
      <c r="N184" s="10">
        <v>100</v>
      </c>
      <c r="O184" s="8" t="s">
        <v>583</v>
      </c>
      <c r="P184" s="58">
        <v>81</v>
      </c>
      <c r="Q184" s="58" t="s">
        <v>496</v>
      </c>
      <c r="R184" s="13"/>
      <c r="S184" s="93"/>
    </row>
    <row r="185" spans="2:19" ht="36" customHeight="1" x14ac:dyDescent="0.3">
      <c r="B185" s="8"/>
      <c r="C185" s="59" t="s">
        <v>503</v>
      </c>
      <c r="D185" s="174">
        <f t="shared" si="40"/>
        <v>17.24785</v>
      </c>
      <c r="E185" s="177">
        <v>7.7652900000000002</v>
      </c>
      <c r="F185" s="177">
        <v>9.4825599999999994</v>
      </c>
      <c r="G185" s="174">
        <f t="shared" si="41"/>
        <v>17.24785</v>
      </c>
      <c r="H185" s="177">
        <v>7.7652900000000002</v>
      </c>
      <c r="I185" s="177">
        <v>9.4825599999999994</v>
      </c>
      <c r="J185" s="174">
        <f t="shared" si="42"/>
        <v>14.145239999999999</v>
      </c>
      <c r="K185" s="177">
        <v>4.6626799999999999</v>
      </c>
      <c r="L185" s="185">
        <v>9.4825599999999994</v>
      </c>
      <c r="M185" s="10">
        <f t="shared" si="33"/>
        <v>82.011613041625466</v>
      </c>
      <c r="N185" s="10">
        <v>95</v>
      </c>
      <c r="O185" s="129" t="s">
        <v>580</v>
      </c>
      <c r="P185" s="162" t="s">
        <v>504</v>
      </c>
      <c r="Q185" s="162" t="s">
        <v>505</v>
      </c>
      <c r="R185" s="13"/>
      <c r="S185" s="93"/>
    </row>
    <row r="186" spans="2:19" ht="36" x14ac:dyDescent="0.3">
      <c r="B186" s="8"/>
      <c r="C186" s="59" t="s">
        <v>506</v>
      </c>
      <c r="D186" s="174">
        <f t="shared" si="40"/>
        <v>40.884149999999998</v>
      </c>
      <c r="E186" s="177">
        <v>32.110669999999999</v>
      </c>
      <c r="F186" s="177">
        <v>8.7734799999999993</v>
      </c>
      <c r="G186" s="174">
        <f t="shared" si="41"/>
        <v>40.884149999999998</v>
      </c>
      <c r="H186" s="177">
        <v>32.110669999999999</v>
      </c>
      <c r="I186" s="177">
        <v>8.7734799999999993</v>
      </c>
      <c r="J186" s="174">
        <f t="shared" si="42"/>
        <v>31.065770000000001</v>
      </c>
      <c r="K186" s="185">
        <v>22.292290000000001</v>
      </c>
      <c r="L186" s="177">
        <v>8.7734799999999993</v>
      </c>
      <c r="M186" s="10">
        <f t="shared" si="33"/>
        <v>75.98487433394115</v>
      </c>
      <c r="N186" s="10">
        <v>95</v>
      </c>
      <c r="O186" s="135"/>
      <c r="P186" s="164"/>
      <c r="Q186" s="164"/>
      <c r="R186" s="13"/>
    </row>
    <row r="187" spans="2:19" ht="36" x14ac:dyDescent="0.3">
      <c r="B187" s="8"/>
      <c r="C187" s="59" t="s">
        <v>581</v>
      </c>
      <c r="D187" s="174">
        <f t="shared" si="40"/>
        <v>58.221940000000004</v>
      </c>
      <c r="E187" s="177">
        <v>39.968600000000002</v>
      </c>
      <c r="F187" s="177">
        <v>18.253340000000001</v>
      </c>
      <c r="G187" s="174">
        <f t="shared" si="41"/>
        <v>58.221940000000004</v>
      </c>
      <c r="H187" s="177">
        <v>39.968600000000002</v>
      </c>
      <c r="I187" s="177">
        <v>18.253340000000001</v>
      </c>
      <c r="J187" s="174">
        <f t="shared" si="42"/>
        <v>0</v>
      </c>
      <c r="K187" s="185"/>
      <c r="L187" s="177"/>
      <c r="M187" s="10">
        <f t="shared" si="33"/>
        <v>0</v>
      </c>
      <c r="N187" s="10">
        <v>80</v>
      </c>
      <c r="O187" s="135"/>
      <c r="P187" s="164"/>
      <c r="Q187" s="164"/>
      <c r="R187" s="13"/>
    </row>
    <row r="188" spans="2:19" ht="36" x14ac:dyDescent="0.3">
      <c r="B188" s="8"/>
      <c r="C188" s="59" t="s">
        <v>582</v>
      </c>
      <c r="D188" s="174">
        <f t="shared" si="40"/>
        <v>29.082730000000002</v>
      </c>
      <c r="E188" s="177">
        <v>19.955210000000001</v>
      </c>
      <c r="F188" s="177">
        <v>9.1275200000000005</v>
      </c>
      <c r="G188" s="174">
        <f t="shared" si="41"/>
        <v>29.082730000000002</v>
      </c>
      <c r="H188" s="177">
        <v>19.955210000000001</v>
      </c>
      <c r="I188" s="177">
        <v>9.1275200000000005</v>
      </c>
      <c r="J188" s="174">
        <f t="shared" si="42"/>
        <v>0</v>
      </c>
      <c r="K188" s="185"/>
      <c r="L188" s="177"/>
      <c r="M188" s="10">
        <f t="shared" si="33"/>
        <v>0</v>
      </c>
      <c r="N188" s="10">
        <v>75</v>
      </c>
      <c r="O188" s="130"/>
      <c r="P188" s="163"/>
      <c r="Q188" s="163"/>
      <c r="R188" s="13"/>
    </row>
    <row r="189" spans="2:19" ht="48" x14ac:dyDescent="0.3">
      <c r="B189" s="8"/>
      <c r="C189" s="59" t="s">
        <v>508</v>
      </c>
      <c r="D189" s="174">
        <f t="shared" ref="D189:D192" si="49">E189+F189</f>
        <v>46.60031</v>
      </c>
      <c r="E189" s="177">
        <v>31.99832</v>
      </c>
      <c r="F189" s="177">
        <v>14.601990000000001</v>
      </c>
      <c r="G189" s="174">
        <f t="shared" ref="G189:G192" si="50">H189+I189</f>
        <v>46.60031</v>
      </c>
      <c r="H189" s="177">
        <v>31.99832</v>
      </c>
      <c r="I189" s="177">
        <v>14.601990000000001</v>
      </c>
      <c r="J189" s="174">
        <f t="shared" ref="J189:J192" si="51">K189+L189</f>
        <v>41.165610000000001</v>
      </c>
      <c r="K189" s="177">
        <f>4.46354+22.10008</f>
        <v>26.56362</v>
      </c>
      <c r="L189" s="177">
        <v>14.601990000000001</v>
      </c>
      <c r="M189" s="10">
        <f t="shared" si="33"/>
        <v>88.337631230350183</v>
      </c>
      <c r="N189" s="10">
        <v>100</v>
      </c>
      <c r="O189" s="8" t="s">
        <v>579</v>
      </c>
      <c r="P189" s="58" t="s">
        <v>509</v>
      </c>
      <c r="Q189" s="59" t="s">
        <v>510</v>
      </c>
      <c r="R189" s="13"/>
      <c r="S189" s="93"/>
    </row>
    <row r="190" spans="2:19" ht="48" x14ac:dyDescent="0.3">
      <c r="B190" s="8"/>
      <c r="C190" s="59" t="s">
        <v>541</v>
      </c>
      <c r="D190" s="174">
        <f t="shared" si="49"/>
        <v>58.231949999999998</v>
      </c>
      <c r="E190" s="177">
        <f>40.03391-0.0534</f>
        <v>39.980509999999995</v>
      </c>
      <c r="F190" s="177">
        <v>18.251439999999999</v>
      </c>
      <c r="G190" s="174">
        <f t="shared" si="50"/>
        <v>58.285349999999994</v>
      </c>
      <c r="H190" s="177">
        <v>40.033909999999999</v>
      </c>
      <c r="I190" s="177">
        <v>18.251439999999999</v>
      </c>
      <c r="J190" s="174">
        <f t="shared" si="51"/>
        <v>20.486280000000001</v>
      </c>
      <c r="K190" s="177">
        <v>11.35707</v>
      </c>
      <c r="L190" s="177">
        <v>9.1292100000000005</v>
      </c>
      <c r="M190" s="10">
        <f t="shared" si="33"/>
        <v>35.180480818519733</v>
      </c>
      <c r="N190" s="10">
        <v>100</v>
      </c>
      <c r="O190" s="129" t="s">
        <v>575</v>
      </c>
      <c r="P190" s="162">
        <v>95</v>
      </c>
      <c r="Q190" s="140" t="s">
        <v>276</v>
      </c>
      <c r="R190" s="13"/>
      <c r="S190" s="93"/>
    </row>
    <row r="191" spans="2:19" ht="48" x14ac:dyDescent="0.3">
      <c r="B191" s="8"/>
      <c r="C191" s="59" t="s">
        <v>542</v>
      </c>
      <c r="D191" s="174">
        <f t="shared" si="49"/>
        <v>29.026399999999999</v>
      </c>
      <c r="E191" s="177">
        <v>19.897189999999998</v>
      </c>
      <c r="F191" s="177">
        <v>9.1292100000000005</v>
      </c>
      <c r="G191" s="174">
        <f t="shared" si="50"/>
        <v>29.026399999999999</v>
      </c>
      <c r="H191" s="177">
        <v>19.897189999999998</v>
      </c>
      <c r="I191" s="177">
        <v>9.1292100000000005</v>
      </c>
      <c r="J191" s="174">
        <f t="shared" si="51"/>
        <v>25.843170000000001</v>
      </c>
      <c r="K191" s="177">
        <v>16.71396</v>
      </c>
      <c r="L191" s="177">
        <v>9.1292100000000005</v>
      </c>
      <c r="M191" s="10">
        <f t="shared" si="33"/>
        <v>89.03332828046193</v>
      </c>
      <c r="N191" s="10">
        <v>100</v>
      </c>
      <c r="O191" s="130"/>
      <c r="P191" s="163"/>
      <c r="Q191" s="141"/>
      <c r="R191" s="13"/>
      <c r="S191" s="93"/>
    </row>
    <row r="192" spans="2:19" ht="48" x14ac:dyDescent="0.3">
      <c r="B192" s="8"/>
      <c r="C192" s="59" t="s">
        <v>529</v>
      </c>
      <c r="D192" s="174">
        <f t="shared" si="49"/>
        <v>58.228079999999999</v>
      </c>
      <c r="E192" s="177">
        <v>39.974919999999997</v>
      </c>
      <c r="F192" s="177">
        <v>18.253160000000001</v>
      </c>
      <c r="G192" s="174">
        <f t="shared" si="50"/>
        <v>58.228079999999999</v>
      </c>
      <c r="H192" s="177">
        <v>39.974919999999997</v>
      </c>
      <c r="I192" s="177">
        <v>18.253160000000001</v>
      </c>
      <c r="J192" s="174">
        <f t="shared" si="51"/>
        <v>51.994509999999998</v>
      </c>
      <c r="K192" s="177">
        <v>33.741349999999997</v>
      </c>
      <c r="L192" s="177">
        <v>18.253160000000001</v>
      </c>
      <c r="M192" s="10">
        <f t="shared" si="33"/>
        <v>89.294563722520138</v>
      </c>
      <c r="N192" s="10">
        <v>100</v>
      </c>
      <c r="O192" s="129" t="s">
        <v>578</v>
      </c>
      <c r="P192" s="162">
        <v>88</v>
      </c>
      <c r="Q192" s="162" t="s">
        <v>528</v>
      </c>
      <c r="R192" s="13"/>
      <c r="S192" s="93"/>
    </row>
    <row r="193" spans="2:19" ht="48" x14ac:dyDescent="0.3">
      <c r="B193" s="8"/>
      <c r="C193" s="59" t="s">
        <v>530</v>
      </c>
      <c r="D193" s="174">
        <f t="shared" ref="D193:D198" si="52">E193+F193</f>
        <v>46.579549999999998</v>
      </c>
      <c r="E193" s="177">
        <v>31.976939999999999</v>
      </c>
      <c r="F193" s="177">
        <v>14.60261</v>
      </c>
      <c r="G193" s="174">
        <f t="shared" ref="G193:G198" si="53">H193+I193</f>
        <v>46.579549999999998</v>
      </c>
      <c r="H193" s="177">
        <v>31.976939999999999</v>
      </c>
      <c r="I193" s="177">
        <v>14.60261</v>
      </c>
      <c r="J193" s="174">
        <f t="shared" ref="J193:J198" si="54">K193+L193</f>
        <v>41.396610000000003</v>
      </c>
      <c r="K193" s="177">
        <v>26.794</v>
      </c>
      <c r="L193" s="177">
        <v>14.60261</v>
      </c>
      <c r="M193" s="10">
        <f t="shared" si="33"/>
        <v>88.872928141212199</v>
      </c>
      <c r="N193" s="10">
        <v>100</v>
      </c>
      <c r="O193" s="135"/>
      <c r="P193" s="164"/>
      <c r="Q193" s="164"/>
      <c r="R193" s="13"/>
    </row>
    <row r="194" spans="2:19" ht="48" x14ac:dyDescent="0.3">
      <c r="B194" s="8"/>
      <c r="C194" s="59" t="s">
        <v>576</v>
      </c>
      <c r="D194" s="174">
        <f t="shared" si="52"/>
        <v>58.118169999999999</v>
      </c>
      <c r="E194" s="177">
        <v>39.861719999999998</v>
      </c>
      <c r="F194" s="177">
        <v>18.256450000000001</v>
      </c>
      <c r="G194" s="174">
        <f t="shared" si="53"/>
        <v>58.118169999999999</v>
      </c>
      <c r="H194" s="177">
        <v>39.861719999999998</v>
      </c>
      <c r="I194" s="177">
        <v>18.256450000000001</v>
      </c>
      <c r="J194" s="174">
        <f t="shared" si="54"/>
        <v>0</v>
      </c>
      <c r="K194" s="177"/>
      <c r="L194" s="177"/>
      <c r="M194" s="10">
        <f t="shared" si="33"/>
        <v>0</v>
      </c>
      <c r="N194" s="10">
        <v>100</v>
      </c>
      <c r="O194" s="135"/>
      <c r="P194" s="164"/>
      <c r="Q194" s="164"/>
      <c r="R194" s="13"/>
    </row>
    <row r="195" spans="2:19" ht="36" x14ac:dyDescent="0.3">
      <c r="B195" s="8"/>
      <c r="C195" s="59" t="s">
        <v>577</v>
      </c>
      <c r="D195" s="174">
        <f t="shared" si="52"/>
        <v>29.093159999999997</v>
      </c>
      <c r="E195" s="177">
        <v>19.965949999999999</v>
      </c>
      <c r="F195" s="177">
        <v>9.1272099999999998</v>
      </c>
      <c r="G195" s="174">
        <f t="shared" si="53"/>
        <v>29.093159999999997</v>
      </c>
      <c r="H195" s="177">
        <v>19.965949999999999</v>
      </c>
      <c r="I195" s="177">
        <v>9.1272099999999998</v>
      </c>
      <c r="J195" s="174">
        <f t="shared" si="54"/>
        <v>0</v>
      </c>
      <c r="K195" s="177"/>
      <c r="L195" s="177"/>
      <c r="M195" s="10">
        <f t="shared" si="33"/>
        <v>0</v>
      </c>
      <c r="N195" s="10">
        <v>100</v>
      </c>
      <c r="O195" s="130"/>
      <c r="P195" s="163"/>
      <c r="Q195" s="163"/>
      <c r="R195" s="13"/>
      <c r="S195" s="93"/>
    </row>
    <row r="196" spans="2:19" ht="38.4" customHeight="1" x14ac:dyDescent="0.3">
      <c r="B196" s="8"/>
      <c r="C196" s="70" t="s">
        <v>531</v>
      </c>
      <c r="D196" s="174">
        <f t="shared" si="52"/>
        <v>43.294890000000002</v>
      </c>
      <c r="E196" s="177">
        <v>28.59374</v>
      </c>
      <c r="F196" s="177">
        <v>14.70115</v>
      </c>
      <c r="G196" s="174">
        <f t="shared" si="53"/>
        <v>43.294890000000002</v>
      </c>
      <c r="H196" s="177">
        <v>28.59374</v>
      </c>
      <c r="I196" s="177">
        <v>14.70115</v>
      </c>
      <c r="J196" s="174">
        <f t="shared" si="54"/>
        <v>40.010069999999999</v>
      </c>
      <c r="K196" s="177">
        <f>6.71518+18.59374</f>
        <v>25.308920000000001</v>
      </c>
      <c r="L196" s="177">
        <v>14.70115</v>
      </c>
      <c r="M196" s="10">
        <f t="shared" si="33"/>
        <v>92.412915242422372</v>
      </c>
      <c r="N196" s="10">
        <v>100</v>
      </c>
      <c r="O196" s="129" t="s">
        <v>575</v>
      </c>
      <c r="P196" s="162" t="s">
        <v>532</v>
      </c>
      <c r="Q196" s="162" t="s">
        <v>533</v>
      </c>
      <c r="R196" s="13"/>
      <c r="S196" s="93"/>
    </row>
    <row r="197" spans="2:19" ht="48" x14ac:dyDescent="0.3">
      <c r="B197" s="8"/>
      <c r="C197" s="70" t="s">
        <v>534</v>
      </c>
      <c r="D197" s="174">
        <f t="shared" si="52"/>
        <v>57.843699999999998</v>
      </c>
      <c r="E197" s="177">
        <v>39.579009999999997</v>
      </c>
      <c r="F197" s="177">
        <v>18.264690000000002</v>
      </c>
      <c r="G197" s="174">
        <f t="shared" si="53"/>
        <v>57.843699999999998</v>
      </c>
      <c r="H197" s="177">
        <v>39.579009999999997</v>
      </c>
      <c r="I197" s="177">
        <v>18.264690000000002</v>
      </c>
      <c r="J197" s="174">
        <f t="shared" si="54"/>
        <v>52.652090000000001</v>
      </c>
      <c r="K197" s="177">
        <f>4.8124+29.575</f>
        <v>34.3874</v>
      </c>
      <c r="L197" s="177">
        <v>18.264690000000002</v>
      </c>
      <c r="M197" s="10">
        <f t="shared" si="33"/>
        <v>91.024761555709617</v>
      </c>
      <c r="N197" s="10">
        <v>100</v>
      </c>
      <c r="O197" s="135"/>
      <c r="P197" s="164"/>
      <c r="Q197" s="164"/>
      <c r="R197" s="13"/>
    </row>
    <row r="198" spans="2:19" ht="48" x14ac:dyDescent="0.3">
      <c r="B198" s="8"/>
      <c r="C198" s="70" t="s">
        <v>535</v>
      </c>
      <c r="D198" s="174">
        <f t="shared" si="52"/>
        <v>58.109960000000001</v>
      </c>
      <c r="E198" s="177">
        <v>39.853259999999999</v>
      </c>
      <c r="F198" s="177">
        <v>18.256699999999999</v>
      </c>
      <c r="G198" s="174">
        <f t="shared" si="53"/>
        <v>58.109960000000001</v>
      </c>
      <c r="H198" s="177">
        <v>39.853259999999999</v>
      </c>
      <c r="I198" s="177">
        <v>18.256699999999999</v>
      </c>
      <c r="J198" s="174">
        <f t="shared" si="54"/>
        <v>53.951120000000003</v>
      </c>
      <c r="K198" s="177">
        <f>5.84142+29.853</f>
        <v>35.694420000000001</v>
      </c>
      <c r="L198" s="177">
        <v>18.256699999999999</v>
      </c>
      <c r="M198" s="10">
        <f t="shared" si="33"/>
        <v>92.843154598626469</v>
      </c>
      <c r="N198" s="10">
        <v>100</v>
      </c>
      <c r="O198" s="130"/>
      <c r="P198" s="163"/>
      <c r="Q198" s="163"/>
      <c r="R198" s="13"/>
    </row>
    <row r="199" spans="2:19" ht="48" x14ac:dyDescent="0.3">
      <c r="B199" s="8"/>
      <c r="C199" s="59" t="s">
        <v>538</v>
      </c>
      <c r="D199" s="174">
        <f t="shared" ref="D199:D200" si="55">E199+F199</f>
        <v>44.461260000000003</v>
      </c>
      <c r="E199" s="177">
        <v>29.795100000000001</v>
      </c>
      <c r="F199" s="177">
        <v>14.66616</v>
      </c>
      <c r="G199" s="174">
        <f t="shared" ref="G199:G200" si="56">H199+I199</f>
        <v>44.461260000000003</v>
      </c>
      <c r="H199" s="177">
        <v>29.795100000000001</v>
      </c>
      <c r="I199" s="177">
        <v>14.66616</v>
      </c>
      <c r="J199" s="174">
        <f t="shared" ref="J199:J200" si="57">K199+L199</f>
        <v>41.10951</v>
      </c>
      <c r="K199" s="177">
        <f>6.64835+19.795</f>
        <v>26.443350000000002</v>
      </c>
      <c r="L199" s="177">
        <v>14.66616</v>
      </c>
      <c r="M199" s="10">
        <f t="shared" si="33"/>
        <v>92.461414723739267</v>
      </c>
      <c r="N199" s="10">
        <v>100</v>
      </c>
      <c r="O199" s="129" t="s">
        <v>575</v>
      </c>
      <c r="P199" s="162" t="s">
        <v>536</v>
      </c>
      <c r="Q199" s="162" t="s">
        <v>537</v>
      </c>
      <c r="R199" s="13"/>
      <c r="S199" s="93"/>
    </row>
    <row r="200" spans="2:19" ht="48" x14ac:dyDescent="0.3">
      <c r="B200" s="8"/>
      <c r="C200" s="59" t="s">
        <v>539</v>
      </c>
      <c r="D200" s="174">
        <f t="shared" si="55"/>
        <v>26.476389999999999</v>
      </c>
      <c r="E200" s="177">
        <v>17.270679999999999</v>
      </c>
      <c r="F200" s="177">
        <v>9.2057099999999998</v>
      </c>
      <c r="G200" s="174">
        <f t="shared" si="56"/>
        <v>26.476389999999999</v>
      </c>
      <c r="H200" s="177">
        <v>17.270679999999999</v>
      </c>
      <c r="I200" s="177">
        <v>9.2057099999999998</v>
      </c>
      <c r="J200" s="174">
        <f t="shared" si="57"/>
        <v>24.447859999999999</v>
      </c>
      <c r="K200" s="177">
        <f>5.24215+10</f>
        <v>15.242149999999999</v>
      </c>
      <c r="L200" s="177">
        <v>9.2057099999999998</v>
      </c>
      <c r="M200" s="10">
        <f t="shared" si="33"/>
        <v>92.338343709244342</v>
      </c>
      <c r="N200" s="10">
        <v>100</v>
      </c>
      <c r="O200" s="135"/>
      <c r="P200" s="164"/>
      <c r="Q200" s="164"/>
      <c r="R200" s="13"/>
    </row>
    <row r="201" spans="2:19" ht="48" x14ac:dyDescent="0.3">
      <c r="B201" s="8"/>
      <c r="C201" s="70" t="s">
        <v>540</v>
      </c>
      <c r="D201" s="174">
        <f t="shared" ref="D201:D202" si="58">E201+F201</f>
        <v>58.109960000000001</v>
      </c>
      <c r="E201" s="177">
        <v>39.853250000000003</v>
      </c>
      <c r="F201" s="177">
        <v>18.256710000000002</v>
      </c>
      <c r="G201" s="174">
        <f t="shared" ref="G201:G202" si="59">H201+I201</f>
        <v>58.109960000000001</v>
      </c>
      <c r="H201" s="177">
        <v>39.853250000000003</v>
      </c>
      <c r="I201" s="177">
        <v>18.256710000000002</v>
      </c>
      <c r="J201" s="174">
        <f t="shared" ref="J201:J202" si="60">K201+L201</f>
        <v>53.951130000000006</v>
      </c>
      <c r="K201" s="177">
        <f>15.69442+20</f>
        <v>35.694420000000001</v>
      </c>
      <c r="L201" s="177">
        <v>18.256710000000002</v>
      </c>
      <c r="M201" s="10">
        <f t="shared" si="33"/>
        <v>92.843171807380358</v>
      </c>
      <c r="N201" s="10">
        <v>100</v>
      </c>
      <c r="O201" s="135"/>
      <c r="P201" s="164"/>
      <c r="Q201" s="164"/>
      <c r="R201" s="13"/>
    </row>
    <row r="202" spans="2:19" ht="48" x14ac:dyDescent="0.3">
      <c r="B202" s="8"/>
      <c r="C202" s="70" t="s">
        <v>606</v>
      </c>
      <c r="D202" s="174">
        <f t="shared" si="58"/>
        <v>39.464960000000005</v>
      </c>
      <c r="E202" s="177">
        <v>24.648910000000001</v>
      </c>
      <c r="F202" s="177">
        <v>14.816050000000001</v>
      </c>
      <c r="G202" s="174">
        <f t="shared" si="59"/>
        <v>39.464960000000005</v>
      </c>
      <c r="H202" s="177">
        <v>24.648910000000001</v>
      </c>
      <c r="I202" s="177">
        <v>14.816050000000001</v>
      </c>
      <c r="J202" s="174">
        <f t="shared" si="60"/>
        <v>36.405810000000002</v>
      </c>
      <c r="K202" s="177">
        <f>6.94176+14.648</f>
        <v>21.589759999999998</v>
      </c>
      <c r="L202" s="177">
        <v>14.816050000000001</v>
      </c>
      <c r="M202" s="10">
        <f t="shared" si="33"/>
        <v>92.248440135249083</v>
      </c>
      <c r="N202" s="10">
        <v>100</v>
      </c>
      <c r="O202" s="130"/>
      <c r="P202" s="163"/>
      <c r="Q202" s="163"/>
      <c r="R202" s="13"/>
    </row>
    <row r="203" spans="2:19" ht="96" x14ac:dyDescent="0.3">
      <c r="B203" s="8"/>
      <c r="C203" s="59" t="s">
        <v>642</v>
      </c>
      <c r="D203" s="174">
        <f t="shared" si="37"/>
        <v>0.4</v>
      </c>
      <c r="E203" s="177">
        <v>0.4</v>
      </c>
      <c r="F203" s="179"/>
      <c r="G203" s="174">
        <f t="shared" si="38"/>
        <v>0</v>
      </c>
      <c r="H203" s="177"/>
      <c r="I203" s="179"/>
      <c r="J203" s="174">
        <f t="shared" si="39"/>
        <v>0.4</v>
      </c>
      <c r="K203" s="177">
        <v>0.4</v>
      </c>
      <c r="L203" s="177"/>
      <c r="M203" s="10">
        <f t="shared" si="33"/>
        <v>100</v>
      </c>
      <c r="N203" s="10"/>
      <c r="O203" s="8"/>
      <c r="P203" s="59" t="s">
        <v>327</v>
      </c>
      <c r="Q203" s="58" t="s">
        <v>130</v>
      </c>
      <c r="R203" s="13"/>
    </row>
    <row r="204" spans="2:19" ht="96" x14ac:dyDescent="0.3">
      <c r="B204" s="8"/>
      <c r="C204" s="71" t="s">
        <v>643</v>
      </c>
      <c r="D204" s="174">
        <f t="shared" si="37"/>
        <v>0.8</v>
      </c>
      <c r="E204" s="177">
        <v>0.8</v>
      </c>
      <c r="F204" s="179"/>
      <c r="G204" s="174">
        <f t="shared" si="38"/>
        <v>0</v>
      </c>
      <c r="H204" s="177"/>
      <c r="I204" s="179"/>
      <c r="J204" s="174">
        <f t="shared" si="39"/>
        <v>0.8</v>
      </c>
      <c r="K204" s="177">
        <v>0.8</v>
      </c>
      <c r="L204" s="177"/>
      <c r="M204" s="10">
        <f t="shared" si="33"/>
        <v>100</v>
      </c>
      <c r="N204" s="10"/>
      <c r="O204" s="8"/>
      <c r="P204" s="71" t="s">
        <v>328</v>
      </c>
      <c r="Q204" s="58" t="s">
        <v>130</v>
      </c>
      <c r="R204" s="13"/>
    </row>
    <row r="205" spans="2:19" ht="168" x14ac:dyDescent="0.3">
      <c r="B205" s="8"/>
      <c r="C205" s="111" t="s">
        <v>644</v>
      </c>
      <c r="D205" s="174">
        <f t="shared" si="37"/>
        <v>195.0146</v>
      </c>
      <c r="E205" s="177">
        <v>133.86503999999999</v>
      </c>
      <c r="F205" s="179">
        <v>61.149560000000001</v>
      </c>
      <c r="G205" s="174">
        <f t="shared" ref="G205:G208" si="61">H205+I205</f>
        <v>195.0146</v>
      </c>
      <c r="H205" s="177">
        <v>133.86503999999999</v>
      </c>
      <c r="I205" s="179">
        <v>61.149560000000001</v>
      </c>
      <c r="J205" s="174">
        <f t="shared" ref="J205:J208" si="62">K205+L205</f>
        <v>0</v>
      </c>
      <c r="K205" s="177"/>
      <c r="L205" s="177"/>
      <c r="M205" s="10">
        <f t="shared" si="33"/>
        <v>0</v>
      </c>
      <c r="N205" s="10">
        <v>20</v>
      </c>
      <c r="O205" s="8" t="s">
        <v>543</v>
      </c>
      <c r="P205" s="58">
        <v>107</v>
      </c>
      <c r="Q205" s="112" t="s">
        <v>298</v>
      </c>
      <c r="R205" s="13"/>
    </row>
    <row r="206" spans="2:19" ht="84" x14ac:dyDescent="0.3">
      <c r="B206" s="8"/>
      <c r="C206" s="99" t="s">
        <v>645</v>
      </c>
      <c r="D206" s="174">
        <f t="shared" si="37"/>
        <v>159.50889999999998</v>
      </c>
      <c r="E206" s="177">
        <v>113.21319</v>
      </c>
      <c r="F206" s="179">
        <v>46.29571</v>
      </c>
      <c r="G206" s="174">
        <f t="shared" si="61"/>
        <v>159.50889999999998</v>
      </c>
      <c r="H206" s="177">
        <v>109.29416999999999</v>
      </c>
      <c r="I206" s="179">
        <v>50.214730000000003</v>
      </c>
      <c r="J206" s="174">
        <f t="shared" si="62"/>
        <v>0</v>
      </c>
      <c r="K206" s="177"/>
      <c r="L206" s="177"/>
      <c r="M206" s="10">
        <f t="shared" si="33"/>
        <v>0</v>
      </c>
      <c r="N206" s="10">
        <v>30</v>
      </c>
      <c r="O206" s="8" t="s">
        <v>543</v>
      </c>
      <c r="P206" s="58" t="s">
        <v>544</v>
      </c>
      <c r="Q206" s="33" t="s">
        <v>545</v>
      </c>
      <c r="R206" s="13"/>
    </row>
    <row r="207" spans="2:19" ht="156" x14ac:dyDescent="0.3">
      <c r="B207" s="8"/>
      <c r="C207" s="111" t="s">
        <v>646</v>
      </c>
      <c r="D207" s="174">
        <f t="shared" si="37"/>
        <v>138.24901</v>
      </c>
      <c r="E207" s="177">
        <v>92.396479999999997</v>
      </c>
      <c r="F207" s="179">
        <v>45.852530000000002</v>
      </c>
      <c r="G207" s="174">
        <f t="shared" si="61"/>
        <v>138.24901</v>
      </c>
      <c r="H207" s="177">
        <v>45.852530000000002</v>
      </c>
      <c r="I207" s="179">
        <v>92.396479999999997</v>
      </c>
      <c r="J207" s="174">
        <f t="shared" si="62"/>
        <v>0</v>
      </c>
      <c r="K207" s="177"/>
      <c r="L207" s="177"/>
      <c r="M207" s="10">
        <f t="shared" si="33"/>
        <v>0</v>
      </c>
      <c r="N207" s="10">
        <v>100</v>
      </c>
      <c r="O207" s="8" t="s">
        <v>548</v>
      </c>
      <c r="P207" s="58" t="s">
        <v>547</v>
      </c>
      <c r="Q207" s="109" t="s">
        <v>546</v>
      </c>
      <c r="R207" s="13"/>
    </row>
    <row r="208" spans="2:19" ht="84" x14ac:dyDescent="0.3">
      <c r="B208" s="8"/>
      <c r="C208" s="111" t="s">
        <v>647</v>
      </c>
      <c r="D208" s="174">
        <f t="shared" si="37"/>
        <v>92.949980000000011</v>
      </c>
      <c r="E208" s="177">
        <v>63.743070000000003</v>
      </c>
      <c r="F208" s="179">
        <v>29.206910000000001</v>
      </c>
      <c r="G208" s="174">
        <f t="shared" si="61"/>
        <v>92.949980000000011</v>
      </c>
      <c r="H208" s="177">
        <v>63.743070000000003</v>
      </c>
      <c r="I208" s="179">
        <v>29.206910000000001</v>
      </c>
      <c r="J208" s="174">
        <f t="shared" si="62"/>
        <v>0</v>
      </c>
      <c r="K208" s="177"/>
      <c r="L208" s="177"/>
      <c r="M208" s="10">
        <f t="shared" si="33"/>
        <v>0</v>
      </c>
      <c r="N208" s="10">
        <v>80</v>
      </c>
      <c r="O208" s="8" t="s">
        <v>550</v>
      </c>
      <c r="P208" s="58">
        <v>92</v>
      </c>
      <c r="Q208" s="109" t="s">
        <v>549</v>
      </c>
      <c r="R208" s="13"/>
    </row>
    <row r="209" spans="2:18" ht="122.4" customHeight="1" x14ac:dyDescent="0.3">
      <c r="B209" s="8"/>
      <c r="C209" s="111" t="s">
        <v>648</v>
      </c>
      <c r="D209" s="174">
        <f t="shared" ref="D209:D214" si="63">E209+F209</f>
        <v>75.606750000000005</v>
      </c>
      <c r="E209" s="177">
        <v>47.874949999999998</v>
      </c>
      <c r="F209" s="179">
        <v>27.7318</v>
      </c>
      <c r="G209" s="174">
        <f t="shared" ref="G209:G214" si="64">H209+I209</f>
        <v>75.606750000000005</v>
      </c>
      <c r="H209" s="177">
        <v>47.874949999999998</v>
      </c>
      <c r="I209" s="179">
        <v>27.7318</v>
      </c>
      <c r="J209" s="174">
        <f t="shared" ref="J209:J214" si="65">K209+L209</f>
        <v>0</v>
      </c>
      <c r="K209" s="177"/>
      <c r="L209" s="177"/>
      <c r="M209" s="10">
        <f t="shared" si="33"/>
        <v>0</v>
      </c>
      <c r="N209" s="10">
        <v>100</v>
      </c>
      <c r="O209" s="8" t="s">
        <v>552</v>
      </c>
      <c r="P209" s="58" t="s">
        <v>75</v>
      </c>
      <c r="Q209" s="109" t="s">
        <v>551</v>
      </c>
      <c r="R209" s="13"/>
    </row>
    <row r="210" spans="2:18" x14ac:dyDescent="0.3">
      <c r="B210" s="8"/>
      <c r="C210" s="99" t="s">
        <v>333</v>
      </c>
      <c r="D210" s="174">
        <f t="shared" si="63"/>
        <v>2.2561900000000001</v>
      </c>
      <c r="E210" s="177"/>
      <c r="F210" s="177">
        <v>2.2561900000000001</v>
      </c>
      <c r="G210" s="174">
        <f t="shared" si="64"/>
        <v>0</v>
      </c>
      <c r="H210" s="177"/>
      <c r="I210" s="179"/>
      <c r="J210" s="174">
        <f t="shared" si="65"/>
        <v>0</v>
      </c>
      <c r="K210" s="177"/>
      <c r="L210" s="177"/>
      <c r="M210" s="10">
        <f t="shared" si="33"/>
        <v>0</v>
      </c>
      <c r="N210" s="10"/>
      <c r="O210" s="8"/>
      <c r="P210" s="59"/>
      <c r="Q210" s="58"/>
      <c r="R210" s="13"/>
    </row>
    <row r="211" spans="2:18" ht="24" x14ac:dyDescent="0.3">
      <c r="B211" s="8"/>
      <c r="C211" s="59" t="s">
        <v>334</v>
      </c>
      <c r="D211" s="174">
        <f t="shared" si="63"/>
        <v>0.9042</v>
      </c>
      <c r="E211" s="177"/>
      <c r="F211" s="179">
        <v>0.9042</v>
      </c>
      <c r="G211" s="174">
        <f t="shared" si="64"/>
        <v>0</v>
      </c>
      <c r="H211" s="177"/>
      <c r="I211" s="179"/>
      <c r="J211" s="174">
        <f t="shared" si="65"/>
        <v>0</v>
      </c>
      <c r="K211" s="177"/>
      <c r="L211" s="177"/>
      <c r="M211" s="10">
        <f t="shared" si="33"/>
        <v>0</v>
      </c>
      <c r="N211" s="10"/>
      <c r="O211" s="8"/>
      <c r="P211" s="4"/>
      <c r="Q211" s="58"/>
      <c r="R211" s="13"/>
    </row>
    <row r="212" spans="2:18" x14ac:dyDescent="0.3">
      <c r="B212" s="8"/>
      <c r="C212" s="99" t="s">
        <v>604</v>
      </c>
      <c r="D212" s="174">
        <f t="shared" si="63"/>
        <v>32.613030000000002</v>
      </c>
      <c r="E212" s="177"/>
      <c r="F212" s="179">
        <v>32.613030000000002</v>
      </c>
      <c r="G212" s="174">
        <f t="shared" si="64"/>
        <v>0</v>
      </c>
      <c r="H212" s="177"/>
      <c r="I212" s="179"/>
      <c r="J212" s="174">
        <f t="shared" si="65"/>
        <v>0</v>
      </c>
      <c r="K212" s="177"/>
      <c r="L212" s="177"/>
      <c r="M212" s="10">
        <f t="shared" si="33"/>
        <v>0</v>
      </c>
      <c r="N212" s="10"/>
      <c r="O212" s="8"/>
      <c r="P212" s="4"/>
      <c r="Q212" s="58"/>
      <c r="R212" s="13"/>
    </row>
    <row r="213" spans="2:18" x14ac:dyDescent="0.3">
      <c r="B213" s="8"/>
      <c r="C213" s="99" t="s">
        <v>605</v>
      </c>
      <c r="D213" s="174">
        <f t="shared" si="63"/>
        <v>1.5673299999999999</v>
      </c>
      <c r="E213" s="177"/>
      <c r="F213" s="179">
        <v>1.5673299999999999</v>
      </c>
      <c r="G213" s="174">
        <f t="shared" si="64"/>
        <v>0</v>
      </c>
      <c r="H213" s="177"/>
      <c r="I213" s="179"/>
      <c r="J213" s="174">
        <f t="shared" si="65"/>
        <v>0</v>
      </c>
      <c r="K213" s="177"/>
      <c r="L213" s="177"/>
      <c r="M213" s="10">
        <f t="shared" si="33"/>
        <v>0</v>
      </c>
      <c r="N213" s="10"/>
      <c r="O213" s="8"/>
      <c r="P213" s="4"/>
      <c r="Q213" s="58"/>
      <c r="R213" s="13"/>
    </row>
    <row r="214" spans="2:18" x14ac:dyDescent="0.3">
      <c r="B214" s="8"/>
      <c r="C214" s="99"/>
      <c r="D214" s="174">
        <f t="shared" si="63"/>
        <v>64.755210000000005</v>
      </c>
      <c r="E214" s="177">
        <v>64.755210000000005</v>
      </c>
      <c r="F214" s="179"/>
      <c r="G214" s="174">
        <f t="shared" si="64"/>
        <v>0</v>
      </c>
      <c r="H214" s="177"/>
      <c r="I214" s="179"/>
      <c r="J214" s="174">
        <f t="shared" si="65"/>
        <v>0</v>
      </c>
      <c r="K214" s="177"/>
      <c r="L214" s="177"/>
      <c r="M214" s="10">
        <f t="shared" si="33"/>
        <v>0</v>
      </c>
      <c r="N214" s="10"/>
      <c r="O214" s="8"/>
      <c r="P214" s="4"/>
      <c r="Q214" s="7"/>
      <c r="R214" s="13"/>
    </row>
    <row r="215" spans="2:18" x14ac:dyDescent="0.3">
      <c r="B215" s="21"/>
      <c r="C215" s="9" t="s">
        <v>41</v>
      </c>
      <c r="D215" s="173">
        <f t="shared" si="37"/>
        <v>2267.4312499999996</v>
      </c>
      <c r="E215" s="173">
        <f>SUM(E162:E214)</f>
        <v>1425.7976200000001</v>
      </c>
      <c r="F215" s="173">
        <f>SUM(F162:F214)</f>
        <v>841.63362999999981</v>
      </c>
      <c r="G215" s="173">
        <f t="shared" si="38"/>
        <v>2194.3852499999998</v>
      </c>
      <c r="H215" s="173">
        <f>SUM(H162:H214)</f>
        <v>1329.9883</v>
      </c>
      <c r="I215" s="173">
        <f>SUM(I162:I214)</f>
        <v>864.39694999999995</v>
      </c>
      <c r="J215" s="173">
        <f t="shared" si="39"/>
        <v>1071.9159</v>
      </c>
      <c r="K215" s="173">
        <f>SUM(K162:K214)</f>
        <v>577.84992999999997</v>
      </c>
      <c r="L215" s="173">
        <f>SUM(L162:L214)</f>
        <v>494.06597000000005</v>
      </c>
      <c r="M215" s="75">
        <f t="shared" si="33"/>
        <v>47.274460912541457</v>
      </c>
      <c r="N215" s="10"/>
      <c r="O215" s="8"/>
      <c r="P215" s="11"/>
      <c r="Q215" s="12"/>
      <c r="R215" s="13"/>
    </row>
    <row r="216" spans="2:18" ht="24" x14ac:dyDescent="0.3">
      <c r="B216" s="21" t="s">
        <v>335</v>
      </c>
      <c r="C216" s="22" t="s">
        <v>336</v>
      </c>
      <c r="D216" s="173"/>
      <c r="E216" s="172"/>
      <c r="F216" s="172"/>
      <c r="G216" s="173"/>
      <c r="H216" s="174"/>
      <c r="I216" s="175"/>
      <c r="J216" s="173"/>
      <c r="K216" s="174"/>
      <c r="L216" s="174"/>
      <c r="M216" s="10"/>
      <c r="N216" s="10"/>
      <c r="O216" s="23"/>
      <c r="P216" s="17"/>
      <c r="Q216" s="23"/>
      <c r="R216" s="13"/>
    </row>
    <row r="217" spans="2:18" ht="108" x14ac:dyDescent="0.3">
      <c r="B217" s="8"/>
      <c r="C217" s="14" t="s">
        <v>337</v>
      </c>
      <c r="D217" s="174">
        <f t="shared" si="37"/>
        <v>586.12</v>
      </c>
      <c r="E217" s="178">
        <v>586.12</v>
      </c>
      <c r="F217" s="194"/>
      <c r="G217" s="174">
        <f t="shared" si="38"/>
        <v>786.12</v>
      </c>
      <c r="H217" s="178">
        <v>786.12</v>
      </c>
      <c r="I217" s="178"/>
      <c r="J217" s="174">
        <f t="shared" si="39"/>
        <v>519.72799999999995</v>
      </c>
      <c r="K217" s="178">
        <f>65.51+61.158+65.51+65.51+65.51+65.51+65.51+65.51</f>
        <v>519.72799999999995</v>
      </c>
      <c r="L217" s="177"/>
      <c r="M217" s="10">
        <f t="shared" si="33"/>
        <v>88.672626765849984</v>
      </c>
      <c r="N217" s="10"/>
      <c r="O217" s="72" t="s">
        <v>182</v>
      </c>
      <c r="P217" s="73" t="s">
        <v>338</v>
      </c>
      <c r="Q217" s="15" t="s">
        <v>339</v>
      </c>
      <c r="R217" s="13"/>
    </row>
    <row r="218" spans="2:18" ht="96" x14ac:dyDescent="0.3">
      <c r="B218" s="8"/>
      <c r="C218" s="14" t="s">
        <v>340</v>
      </c>
      <c r="D218" s="174">
        <f t="shared" si="37"/>
        <v>172.88</v>
      </c>
      <c r="E218" s="174">
        <v>172.88</v>
      </c>
      <c r="F218" s="174"/>
      <c r="G218" s="174">
        <f t="shared" si="38"/>
        <v>224.92</v>
      </c>
      <c r="H218" s="174">
        <v>224.92</v>
      </c>
      <c r="I218" s="178"/>
      <c r="J218" s="174">
        <f t="shared" si="39"/>
        <v>120.24799999999999</v>
      </c>
      <c r="K218" s="178">
        <f>17.356+24.112+13.355+14.505+16.42+16.817+17.683</f>
        <v>120.24799999999999</v>
      </c>
      <c r="L218" s="177"/>
      <c r="M218" s="10">
        <f t="shared" si="33"/>
        <v>69.555761221656638</v>
      </c>
      <c r="N218" s="10"/>
      <c r="O218" s="4" t="s">
        <v>341</v>
      </c>
      <c r="P218" s="73" t="s">
        <v>342</v>
      </c>
      <c r="Q218" s="15" t="s">
        <v>339</v>
      </c>
      <c r="R218" s="13"/>
    </row>
    <row r="219" spans="2:18" ht="132" x14ac:dyDescent="0.3">
      <c r="B219" s="8"/>
      <c r="C219" s="25" t="s">
        <v>343</v>
      </c>
      <c r="D219" s="174">
        <f t="shared" si="37"/>
        <v>173.483</v>
      </c>
      <c r="E219" s="178">
        <v>173.483</v>
      </c>
      <c r="F219" s="174"/>
      <c r="G219" s="174">
        <f t="shared" si="38"/>
        <v>173.48298</v>
      </c>
      <c r="H219" s="178">
        <v>173.48298</v>
      </c>
      <c r="I219" s="178"/>
      <c r="J219" s="174">
        <f t="shared" si="39"/>
        <v>173.48298</v>
      </c>
      <c r="K219" s="178">
        <v>173.48298</v>
      </c>
      <c r="L219" s="177"/>
      <c r="M219" s="10">
        <f t="shared" si="33"/>
        <v>99.999988471492884</v>
      </c>
      <c r="N219" s="10"/>
      <c r="O219" s="4" t="s">
        <v>344</v>
      </c>
      <c r="P219" s="73"/>
      <c r="Q219" s="36" t="s">
        <v>345</v>
      </c>
      <c r="R219" s="13"/>
    </row>
    <row r="220" spans="2:18" x14ac:dyDescent="0.3">
      <c r="B220" s="21"/>
      <c r="C220" s="46" t="s">
        <v>41</v>
      </c>
      <c r="D220" s="173">
        <f t="shared" si="37"/>
        <v>932.48299999999995</v>
      </c>
      <c r="E220" s="195">
        <f>SUM(E217:E219)</f>
        <v>932.48299999999995</v>
      </c>
      <c r="F220" s="195">
        <f>SUM(F217:F219)</f>
        <v>0</v>
      </c>
      <c r="G220" s="173">
        <f t="shared" si="38"/>
        <v>1184.52298</v>
      </c>
      <c r="H220" s="195">
        <f>SUM(H217:H219)</f>
        <v>1184.52298</v>
      </c>
      <c r="I220" s="195">
        <f>SUM(I217:I219)</f>
        <v>0</v>
      </c>
      <c r="J220" s="173">
        <f t="shared" si="39"/>
        <v>813.45897999999988</v>
      </c>
      <c r="K220" s="195">
        <f>SUM(K217:K219)</f>
        <v>813.45897999999988</v>
      </c>
      <c r="L220" s="195">
        <f>SUM(L217:L219)</f>
        <v>0</v>
      </c>
      <c r="M220" s="75">
        <f t="shared" si="33"/>
        <v>87.235797328208662</v>
      </c>
      <c r="N220" s="10"/>
      <c r="O220" s="8"/>
      <c r="P220" s="11"/>
      <c r="Q220" s="12"/>
      <c r="R220" s="13"/>
    </row>
    <row r="221" spans="2:18" ht="36" x14ac:dyDescent="0.3">
      <c r="B221" s="21" t="s">
        <v>346</v>
      </c>
      <c r="C221" s="9" t="s">
        <v>347</v>
      </c>
      <c r="D221" s="173"/>
      <c r="E221" s="172"/>
      <c r="F221" s="172"/>
      <c r="G221" s="173"/>
      <c r="H221" s="174"/>
      <c r="I221" s="175"/>
      <c r="J221" s="173"/>
      <c r="K221" s="174"/>
      <c r="L221" s="174"/>
      <c r="M221" s="10"/>
      <c r="N221" s="10"/>
      <c r="O221" s="23"/>
      <c r="P221" s="17"/>
      <c r="Q221" s="23"/>
      <c r="R221" s="13"/>
    </row>
    <row r="222" spans="2:18" ht="72" x14ac:dyDescent="0.3">
      <c r="B222" s="21"/>
      <c r="C222" s="14" t="s">
        <v>348</v>
      </c>
      <c r="D222" s="174">
        <f t="shared" si="37"/>
        <v>410.92550999999997</v>
      </c>
      <c r="E222" s="188">
        <f>81.04422+9.08754</f>
        <v>90.13176</v>
      </c>
      <c r="F222" s="188">
        <f>166.22125+28.12375+126.44875</f>
        <v>320.79374999999999</v>
      </c>
      <c r="G222" s="174">
        <f t="shared" si="38"/>
        <v>413.07376999999997</v>
      </c>
      <c r="H222" s="196">
        <v>90.572770000000006</v>
      </c>
      <c r="I222" s="188">
        <v>322.50099999999998</v>
      </c>
      <c r="J222" s="174">
        <f t="shared" si="39"/>
        <v>410.92550999999997</v>
      </c>
      <c r="K222" s="188">
        <f>81.04422+9.08754</f>
        <v>90.13176</v>
      </c>
      <c r="L222" s="188">
        <f>166.22125+28.12375+126.44875</f>
        <v>320.79374999999999</v>
      </c>
      <c r="M222" s="10">
        <f t="shared" si="33"/>
        <v>100</v>
      </c>
      <c r="N222" s="10"/>
      <c r="O222" s="8" t="s">
        <v>349</v>
      </c>
      <c r="P222" s="4" t="s">
        <v>350</v>
      </c>
      <c r="Q222" s="15" t="s">
        <v>351</v>
      </c>
      <c r="R222" s="13" t="s">
        <v>608</v>
      </c>
    </row>
    <row r="223" spans="2:18" ht="60" x14ac:dyDescent="0.3">
      <c r="B223" s="21"/>
      <c r="C223" s="14" t="s">
        <v>352</v>
      </c>
      <c r="D223" s="174">
        <f t="shared" si="37"/>
        <v>22.48441</v>
      </c>
      <c r="E223" s="188">
        <v>22.48441</v>
      </c>
      <c r="F223" s="188"/>
      <c r="G223" s="174">
        <f t="shared" si="38"/>
        <v>22.48441</v>
      </c>
      <c r="H223" s="188">
        <v>22.48441</v>
      </c>
      <c r="I223" s="188"/>
      <c r="J223" s="174">
        <f t="shared" si="39"/>
        <v>22.48441</v>
      </c>
      <c r="K223" s="188">
        <v>22.48441</v>
      </c>
      <c r="L223" s="188"/>
      <c r="M223" s="10">
        <f t="shared" si="33"/>
        <v>100</v>
      </c>
      <c r="N223" s="10"/>
      <c r="O223" s="8" t="s">
        <v>198</v>
      </c>
      <c r="P223" s="4" t="s">
        <v>199</v>
      </c>
      <c r="Q223" s="15" t="s">
        <v>200</v>
      </c>
      <c r="R223" s="13"/>
    </row>
    <row r="224" spans="2:18" ht="48" x14ac:dyDescent="0.3">
      <c r="B224" s="21"/>
      <c r="C224" s="14" t="s">
        <v>353</v>
      </c>
      <c r="D224" s="174">
        <f t="shared" si="37"/>
        <v>70</v>
      </c>
      <c r="E224" s="188">
        <v>70</v>
      </c>
      <c r="F224" s="188"/>
      <c r="G224" s="174">
        <f t="shared" si="38"/>
        <v>70</v>
      </c>
      <c r="H224" s="188">
        <v>70</v>
      </c>
      <c r="I224" s="188"/>
      <c r="J224" s="174">
        <f t="shared" si="39"/>
        <v>1.8729499999999999</v>
      </c>
      <c r="K224" s="188">
        <v>1.8729499999999999</v>
      </c>
      <c r="L224" s="188"/>
      <c r="M224" s="10">
        <f t="shared" si="33"/>
        <v>2.675642857142857</v>
      </c>
      <c r="N224" s="10"/>
      <c r="O224" s="8" t="s">
        <v>152</v>
      </c>
      <c r="P224" s="4" t="s">
        <v>153</v>
      </c>
      <c r="Q224" s="74" t="s">
        <v>354</v>
      </c>
      <c r="R224" s="13"/>
    </row>
    <row r="225" spans="2:18" ht="84" x14ac:dyDescent="0.3">
      <c r="B225" s="21"/>
      <c r="C225" s="59" t="s">
        <v>355</v>
      </c>
      <c r="D225" s="174">
        <f t="shared" si="37"/>
        <v>0.3</v>
      </c>
      <c r="E225" s="188">
        <v>0.3</v>
      </c>
      <c r="F225" s="188"/>
      <c r="G225" s="174">
        <f t="shared" si="38"/>
        <v>0.3</v>
      </c>
      <c r="H225" s="188">
        <v>0.3</v>
      </c>
      <c r="I225" s="188"/>
      <c r="J225" s="174">
        <f t="shared" si="39"/>
        <v>0.3</v>
      </c>
      <c r="K225" s="188">
        <v>0.3</v>
      </c>
      <c r="L225" s="188"/>
      <c r="M225" s="10">
        <f t="shared" si="33"/>
        <v>100</v>
      </c>
      <c r="N225" s="10"/>
      <c r="O225" s="8" t="s">
        <v>356</v>
      </c>
      <c r="P225" s="58" t="s">
        <v>357</v>
      </c>
      <c r="Q225" s="59" t="s">
        <v>358</v>
      </c>
      <c r="R225" s="13"/>
    </row>
    <row r="226" spans="2:18" ht="60.6" customHeight="1" x14ac:dyDescent="0.3">
      <c r="B226" s="21"/>
      <c r="C226" s="59" t="s">
        <v>359</v>
      </c>
      <c r="D226" s="174">
        <f t="shared" si="37"/>
        <v>72.55</v>
      </c>
      <c r="E226" s="188">
        <v>72.55</v>
      </c>
      <c r="F226" s="188"/>
      <c r="G226" s="174">
        <f t="shared" si="38"/>
        <v>72.55</v>
      </c>
      <c r="H226" s="188">
        <v>72.55</v>
      </c>
      <c r="I226" s="188"/>
      <c r="J226" s="174">
        <f t="shared" si="39"/>
        <v>0</v>
      </c>
      <c r="K226" s="188"/>
      <c r="L226" s="188"/>
      <c r="M226" s="10">
        <f t="shared" si="33"/>
        <v>0</v>
      </c>
      <c r="N226" s="10"/>
      <c r="O226" s="8" t="s">
        <v>38</v>
      </c>
      <c r="P226" s="58" t="s">
        <v>39</v>
      </c>
      <c r="Q226" s="59" t="s">
        <v>40</v>
      </c>
      <c r="R226" s="13"/>
    </row>
    <row r="227" spans="2:18" ht="48" x14ac:dyDescent="0.3">
      <c r="B227" s="21"/>
      <c r="C227" s="59" t="s">
        <v>649</v>
      </c>
      <c r="D227" s="174">
        <f t="shared" si="37"/>
        <v>102.91840000000001</v>
      </c>
      <c r="E227" s="188">
        <v>102.91840000000001</v>
      </c>
      <c r="F227" s="188"/>
      <c r="G227" s="174">
        <f t="shared" si="38"/>
        <v>128.648</v>
      </c>
      <c r="H227" s="188">
        <v>128.648</v>
      </c>
      <c r="I227" s="188"/>
      <c r="J227" s="174">
        <f t="shared" si="39"/>
        <v>41.14188</v>
      </c>
      <c r="K227" s="188">
        <v>41.14188</v>
      </c>
      <c r="L227" s="188"/>
      <c r="M227" s="10">
        <f t="shared" si="33"/>
        <v>39.975242522231198</v>
      </c>
      <c r="N227" s="10">
        <v>70</v>
      </c>
      <c r="O227" s="8" t="s">
        <v>360</v>
      </c>
      <c r="P227" s="58">
        <v>149</v>
      </c>
      <c r="Q227" s="59" t="s">
        <v>361</v>
      </c>
      <c r="R227" s="13" t="s">
        <v>609</v>
      </c>
    </row>
    <row r="228" spans="2:18" ht="48" x14ac:dyDescent="0.3">
      <c r="B228" s="21"/>
      <c r="C228" s="108" t="s">
        <v>651</v>
      </c>
      <c r="D228" s="174">
        <f t="shared" si="37"/>
        <v>400</v>
      </c>
      <c r="E228" s="188">
        <v>400</v>
      </c>
      <c r="F228" s="188"/>
      <c r="G228" s="174">
        <f t="shared" ref="G228:G231" si="66">H228+I228</f>
        <v>884.49216999999999</v>
      </c>
      <c r="H228" s="188">
        <v>884.49216999999999</v>
      </c>
      <c r="I228" s="188"/>
      <c r="J228" s="174">
        <f t="shared" ref="J228:J231" si="67">K228+L228</f>
        <v>176.898</v>
      </c>
      <c r="K228" s="188">
        <v>176.898</v>
      </c>
      <c r="L228" s="188"/>
      <c r="M228" s="10">
        <f t="shared" si="33"/>
        <v>44.224499999999999</v>
      </c>
      <c r="N228" s="10">
        <v>15</v>
      </c>
      <c r="O228" s="8" t="s">
        <v>553</v>
      </c>
      <c r="P228" s="58">
        <v>98</v>
      </c>
      <c r="Q228" s="109" t="s">
        <v>554</v>
      </c>
      <c r="R228" s="13"/>
    </row>
    <row r="229" spans="2:18" ht="60" x14ac:dyDescent="0.3">
      <c r="B229" s="21"/>
      <c r="C229" s="113" t="s">
        <v>652</v>
      </c>
      <c r="D229" s="174">
        <f t="shared" si="37"/>
        <v>37.818379999999998</v>
      </c>
      <c r="E229" s="188">
        <v>37.818379999999998</v>
      </c>
      <c r="F229" s="188"/>
      <c r="G229" s="174">
        <f t="shared" si="66"/>
        <v>111.13200000000001</v>
      </c>
      <c r="H229" s="188">
        <v>111.13200000000001</v>
      </c>
      <c r="I229" s="188"/>
      <c r="J229" s="174">
        <f t="shared" si="67"/>
        <v>28.363779999999998</v>
      </c>
      <c r="K229" s="188">
        <v>28.363779999999998</v>
      </c>
      <c r="L229" s="188"/>
      <c r="M229" s="10">
        <f t="shared" si="33"/>
        <v>74.999986778915442</v>
      </c>
      <c r="N229" s="10">
        <v>70</v>
      </c>
      <c r="O229" s="8" t="s">
        <v>556</v>
      </c>
      <c r="P229" s="58">
        <v>147</v>
      </c>
      <c r="Q229" s="114" t="s">
        <v>555</v>
      </c>
      <c r="R229" s="13" t="s">
        <v>610</v>
      </c>
    </row>
    <row r="230" spans="2:18" ht="84" x14ac:dyDescent="0.3">
      <c r="B230" s="21"/>
      <c r="C230" s="111" t="s">
        <v>650</v>
      </c>
      <c r="D230" s="174">
        <f t="shared" si="37"/>
        <v>6.5739999999999998</v>
      </c>
      <c r="E230" s="188">
        <v>6.5739999999999998</v>
      </c>
      <c r="F230" s="188"/>
      <c r="G230" s="174">
        <f t="shared" si="66"/>
        <v>6.5739999999999998</v>
      </c>
      <c r="H230" s="188">
        <v>6.5739999999999998</v>
      </c>
      <c r="I230" s="188"/>
      <c r="J230" s="174">
        <f t="shared" si="67"/>
        <v>0.82369000000000003</v>
      </c>
      <c r="K230" s="188">
        <v>0.82369000000000003</v>
      </c>
      <c r="L230" s="188"/>
      <c r="M230" s="10">
        <f t="shared" si="33"/>
        <v>12.529510191664134</v>
      </c>
      <c r="N230" s="10"/>
      <c r="O230" s="8" t="s">
        <v>523</v>
      </c>
      <c r="P230" s="58">
        <v>109</v>
      </c>
      <c r="Q230" s="112" t="s">
        <v>80</v>
      </c>
      <c r="R230" s="13"/>
    </row>
    <row r="231" spans="2:18" ht="48" x14ac:dyDescent="0.3">
      <c r="B231" s="21"/>
      <c r="C231" s="108" t="s">
        <v>653</v>
      </c>
      <c r="D231" s="174">
        <f t="shared" si="37"/>
        <v>100</v>
      </c>
      <c r="E231" s="188">
        <v>100</v>
      </c>
      <c r="F231" s="188"/>
      <c r="G231" s="174">
        <f t="shared" si="66"/>
        <v>215.012</v>
      </c>
      <c r="H231" s="188">
        <v>215.012</v>
      </c>
      <c r="I231" s="188"/>
      <c r="J231" s="174">
        <f t="shared" si="67"/>
        <v>0</v>
      </c>
      <c r="K231" s="188"/>
      <c r="L231" s="188"/>
      <c r="M231" s="10">
        <f t="shared" si="33"/>
        <v>0</v>
      </c>
      <c r="N231" s="10">
        <v>0</v>
      </c>
      <c r="O231" s="8" t="s">
        <v>558</v>
      </c>
      <c r="P231" s="58">
        <v>90</v>
      </c>
      <c r="Q231" s="109" t="s">
        <v>557</v>
      </c>
      <c r="R231" s="13"/>
    </row>
    <row r="232" spans="2:18" x14ac:dyDescent="0.3">
      <c r="B232" s="21"/>
      <c r="C232" s="108" t="s">
        <v>607</v>
      </c>
      <c r="D232" s="174">
        <f t="shared" si="37"/>
        <v>1.7072499999999999</v>
      </c>
      <c r="E232" s="188"/>
      <c r="F232" s="188">
        <v>1.7072499999999999</v>
      </c>
      <c r="G232" s="174"/>
      <c r="H232" s="188"/>
      <c r="I232" s="188"/>
      <c r="J232" s="174"/>
      <c r="K232" s="188"/>
      <c r="L232" s="188"/>
      <c r="M232" s="10">
        <f t="shared" si="33"/>
        <v>0</v>
      </c>
      <c r="N232" s="10"/>
      <c r="O232" s="8"/>
      <c r="P232" s="58"/>
      <c r="Q232" s="109"/>
      <c r="R232" s="13"/>
    </row>
    <row r="233" spans="2:18" x14ac:dyDescent="0.3">
      <c r="B233" s="21"/>
      <c r="C233" s="99" t="s">
        <v>362</v>
      </c>
      <c r="D233" s="174">
        <f t="shared" si="37"/>
        <v>321.87943999999999</v>
      </c>
      <c r="E233" s="188"/>
      <c r="F233" s="188">
        <v>321.87943999999999</v>
      </c>
      <c r="G233" s="174"/>
      <c r="H233" s="188"/>
      <c r="I233" s="188"/>
      <c r="J233" s="174"/>
      <c r="K233" s="188"/>
      <c r="L233" s="188"/>
      <c r="M233" s="10">
        <f t="shared" si="33"/>
        <v>0</v>
      </c>
      <c r="N233" s="10"/>
      <c r="O233" s="8"/>
      <c r="P233" s="58"/>
      <c r="Q233" s="59"/>
      <c r="R233" s="13"/>
    </row>
    <row r="234" spans="2:18" x14ac:dyDescent="0.3">
      <c r="B234" s="21"/>
      <c r="C234" s="99"/>
      <c r="D234" s="174">
        <f t="shared" si="37"/>
        <v>85.849630000000005</v>
      </c>
      <c r="E234" s="188">
        <v>85.849630000000005</v>
      </c>
      <c r="F234" s="188"/>
      <c r="G234" s="174"/>
      <c r="H234" s="188"/>
      <c r="I234" s="188"/>
      <c r="J234" s="174"/>
      <c r="K234" s="188"/>
      <c r="L234" s="188"/>
      <c r="M234" s="10">
        <f t="shared" si="33"/>
        <v>0</v>
      </c>
      <c r="N234" s="10"/>
      <c r="O234" s="8"/>
      <c r="P234" s="58"/>
      <c r="Q234" s="59"/>
      <c r="R234" s="13"/>
    </row>
    <row r="235" spans="2:18" ht="13.2" customHeight="1" x14ac:dyDescent="0.3">
      <c r="B235" s="21"/>
      <c r="C235" s="22" t="s">
        <v>41</v>
      </c>
      <c r="D235" s="173">
        <f t="shared" si="37"/>
        <v>1633.00702</v>
      </c>
      <c r="E235" s="195">
        <f>SUM(E222:E234)</f>
        <v>988.6265800000001</v>
      </c>
      <c r="F235" s="195">
        <f>SUM(F222:F233)</f>
        <v>644.38043999999991</v>
      </c>
      <c r="G235" s="173">
        <f t="shared" si="38"/>
        <v>1924.2663500000001</v>
      </c>
      <c r="H235" s="195">
        <f>SUM(H222:H233)</f>
        <v>1601.7653500000001</v>
      </c>
      <c r="I235" s="195">
        <f>SUM(I222:I233)</f>
        <v>322.50099999999998</v>
      </c>
      <c r="J235" s="173">
        <f t="shared" si="39"/>
        <v>682.81021999999996</v>
      </c>
      <c r="K235" s="195">
        <f>SUM(K222:K233)</f>
        <v>362.01646999999997</v>
      </c>
      <c r="L235" s="195">
        <f>SUM(L222:L233)</f>
        <v>320.79374999999999</v>
      </c>
      <c r="M235" s="75">
        <f t="shared" si="33"/>
        <v>41.813060913847139</v>
      </c>
      <c r="N235" s="75"/>
      <c r="O235" s="8"/>
      <c r="P235" s="11"/>
      <c r="Q235" s="12"/>
      <c r="R235" s="13"/>
    </row>
    <row r="236" spans="2:18" ht="48" hidden="1" x14ac:dyDescent="0.3">
      <c r="B236" s="21" t="s">
        <v>363</v>
      </c>
      <c r="C236" s="76" t="s">
        <v>364</v>
      </c>
      <c r="D236" s="173"/>
      <c r="E236" s="197"/>
      <c r="F236" s="197"/>
      <c r="G236" s="173"/>
      <c r="H236" s="197"/>
      <c r="I236" s="197"/>
      <c r="J236" s="173"/>
      <c r="K236" s="197"/>
      <c r="L236" s="197"/>
      <c r="M236" s="75"/>
      <c r="N236" s="75"/>
      <c r="O236" s="21"/>
      <c r="P236" s="2"/>
      <c r="Q236" s="77"/>
      <c r="R236" s="13"/>
    </row>
    <row r="237" spans="2:18" hidden="1" x14ac:dyDescent="0.3">
      <c r="B237" s="8"/>
      <c r="C237" s="78"/>
      <c r="D237" s="173">
        <f t="shared" si="37"/>
        <v>0</v>
      </c>
      <c r="E237" s="197"/>
      <c r="F237" s="197"/>
      <c r="G237" s="173">
        <f t="shared" si="38"/>
        <v>0</v>
      </c>
      <c r="H237" s="197"/>
      <c r="I237" s="197"/>
      <c r="J237" s="173">
        <f t="shared" si="39"/>
        <v>0</v>
      </c>
      <c r="K237" s="197"/>
      <c r="L237" s="197"/>
      <c r="M237" s="75" t="e">
        <f t="shared" si="33"/>
        <v>#DIV/0!</v>
      </c>
      <c r="N237" s="75"/>
      <c r="O237" s="8"/>
      <c r="P237" s="4"/>
      <c r="Q237" s="79"/>
      <c r="R237" s="13"/>
    </row>
    <row r="238" spans="2:18" hidden="1" x14ac:dyDescent="0.3">
      <c r="B238" s="21"/>
      <c r="C238" s="76"/>
      <c r="D238" s="173">
        <f t="shared" si="37"/>
        <v>0</v>
      </c>
      <c r="E238" s="197"/>
      <c r="F238" s="197"/>
      <c r="G238" s="173">
        <f t="shared" si="38"/>
        <v>0</v>
      </c>
      <c r="H238" s="197"/>
      <c r="I238" s="197"/>
      <c r="J238" s="173">
        <f t="shared" si="39"/>
        <v>0</v>
      </c>
      <c r="K238" s="197"/>
      <c r="L238" s="197"/>
      <c r="M238" s="75" t="e">
        <f t="shared" si="33"/>
        <v>#DIV/0!</v>
      </c>
      <c r="N238" s="75"/>
      <c r="O238" s="21"/>
      <c r="P238" s="2"/>
      <c r="Q238" s="77"/>
      <c r="R238" s="13"/>
    </row>
    <row r="239" spans="2:18" hidden="1" x14ac:dyDescent="0.3">
      <c r="B239" s="21"/>
      <c r="C239" s="76"/>
      <c r="D239" s="173"/>
      <c r="E239" s="197"/>
      <c r="F239" s="197"/>
      <c r="G239" s="173"/>
      <c r="H239" s="197"/>
      <c r="I239" s="197"/>
      <c r="J239" s="173"/>
      <c r="K239" s="197"/>
      <c r="L239" s="197"/>
      <c r="M239" s="75" t="e">
        <f t="shared" si="33"/>
        <v>#DIV/0!</v>
      </c>
      <c r="N239" s="75"/>
      <c r="O239" s="21"/>
      <c r="P239" s="2"/>
      <c r="Q239" s="77"/>
      <c r="R239" s="13"/>
    </row>
    <row r="240" spans="2:18" ht="48" x14ac:dyDescent="0.3">
      <c r="B240" s="21" t="s">
        <v>365</v>
      </c>
      <c r="C240" s="22" t="s">
        <v>366</v>
      </c>
      <c r="D240" s="173"/>
      <c r="E240" s="171"/>
      <c r="F240" s="171"/>
      <c r="G240" s="173"/>
      <c r="H240" s="173"/>
      <c r="I240" s="186"/>
      <c r="J240" s="173"/>
      <c r="K240" s="173"/>
      <c r="L240" s="173"/>
      <c r="M240" s="75"/>
      <c r="N240" s="75"/>
      <c r="O240" s="23"/>
      <c r="P240" s="17"/>
      <c r="Q240" s="23"/>
      <c r="R240" s="13"/>
    </row>
    <row r="241" spans="2:18" ht="72" x14ac:dyDescent="0.3">
      <c r="B241" s="8" t="s">
        <v>17</v>
      </c>
      <c r="C241" s="14" t="s">
        <v>367</v>
      </c>
      <c r="D241" s="174">
        <f t="shared" ref="D241:D247" si="68">E241+F241</f>
        <v>128.41847999999999</v>
      </c>
      <c r="E241" s="176">
        <v>50</v>
      </c>
      <c r="F241" s="176">
        <v>78.418480000000002</v>
      </c>
      <c r="G241" s="174">
        <f t="shared" ref="G241:G247" si="69">H241+I241</f>
        <v>749.44111999999996</v>
      </c>
      <c r="H241" s="176">
        <f>8.032+102.71042-1.2293</f>
        <v>109.51312</v>
      </c>
      <c r="I241" s="176">
        <f>511.883+128.045</f>
        <v>639.928</v>
      </c>
      <c r="J241" s="174">
        <f t="shared" ref="J241:J247" si="70">K241+L241</f>
        <v>78.229990000000001</v>
      </c>
      <c r="K241" s="176"/>
      <c r="L241" s="177">
        <f>44.82917+33.40082</f>
        <v>78.229990000000001</v>
      </c>
      <c r="M241" s="10">
        <f t="shared" ref="M241:M247" si="71">J241/D241%</f>
        <v>60.918015849432273</v>
      </c>
      <c r="N241" s="10">
        <v>100</v>
      </c>
      <c r="O241" s="4" t="s">
        <v>368</v>
      </c>
      <c r="P241" s="24" t="s">
        <v>369</v>
      </c>
      <c r="Q241" s="15" t="s">
        <v>370</v>
      </c>
      <c r="R241" s="13" t="s">
        <v>371</v>
      </c>
    </row>
    <row r="242" spans="2:18" ht="60" x14ac:dyDescent="0.3">
      <c r="B242" s="8"/>
      <c r="C242" s="14" t="s">
        <v>372</v>
      </c>
      <c r="D242" s="174">
        <f t="shared" si="68"/>
        <v>470.60048999999998</v>
      </c>
      <c r="E242" s="176">
        <v>470.60048999999998</v>
      </c>
      <c r="F242" s="176"/>
      <c r="G242" s="174">
        <f t="shared" si="69"/>
        <v>470.60048999999998</v>
      </c>
      <c r="H242" s="176">
        <v>470.60048999999998</v>
      </c>
      <c r="I242" s="176"/>
      <c r="J242" s="174">
        <f t="shared" si="70"/>
        <v>305.74772999999999</v>
      </c>
      <c r="K242" s="176">
        <f>87.29059+46.22+172.23714</f>
        <v>305.74772999999999</v>
      </c>
      <c r="L242" s="177"/>
      <c r="M242" s="10">
        <f t="shared" si="71"/>
        <v>64.969700732780794</v>
      </c>
      <c r="N242" s="10">
        <v>100</v>
      </c>
      <c r="O242" s="4" t="s">
        <v>373</v>
      </c>
      <c r="P242" s="24" t="s">
        <v>374</v>
      </c>
      <c r="Q242" s="15" t="s">
        <v>351</v>
      </c>
      <c r="R242" s="13"/>
    </row>
    <row r="243" spans="2:18" ht="48" x14ac:dyDescent="0.3">
      <c r="B243" s="8"/>
      <c r="C243" s="26" t="s">
        <v>375</v>
      </c>
      <c r="D243" s="174">
        <f t="shared" si="68"/>
        <v>175.917</v>
      </c>
      <c r="E243" s="177">
        <f>-3.95738+179.87438</f>
        <v>175.917</v>
      </c>
      <c r="F243" s="177"/>
      <c r="G243" s="174">
        <f t="shared" si="69"/>
        <v>175.917</v>
      </c>
      <c r="H243" s="177">
        <f>179.87438-H244</f>
        <v>175.917</v>
      </c>
      <c r="I243" s="177"/>
      <c r="J243" s="174">
        <f t="shared" si="70"/>
        <v>160.80085</v>
      </c>
      <c r="K243" s="177">
        <f>52.85885+105.15996+2.78204</f>
        <v>160.80085</v>
      </c>
      <c r="L243" s="177"/>
      <c r="M243" s="10">
        <f t="shared" si="71"/>
        <v>91.407226135052312</v>
      </c>
      <c r="N243" s="10">
        <v>100</v>
      </c>
      <c r="O243" s="131" t="s">
        <v>376</v>
      </c>
      <c r="P243" s="168" t="s">
        <v>377</v>
      </c>
      <c r="Q243" s="133" t="s">
        <v>378</v>
      </c>
      <c r="R243" s="153"/>
    </row>
    <row r="244" spans="2:18" ht="60" x14ac:dyDescent="0.3">
      <c r="B244" s="8"/>
      <c r="C244" s="59" t="s">
        <v>379</v>
      </c>
      <c r="D244" s="174">
        <f t="shared" si="68"/>
        <v>3.9573800000000001</v>
      </c>
      <c r="E244" s="177">
        <v>3.9573800000000001</v>
      </c>
      <c r="F244" s="177"/>
      <c r="G244" s="174">
        <f t="shared" si="69"/>
        <v>3.9573800000000001</v>
      </c>
      <c r="H244" s="177">
        <v>3.9573800000000001</v>
      </c>
      <c r="I244" s="177"/>
      <c r="J244" s="174">
        <f t="shared" si="70"/>
        <v>3.9573800000000001</v>
      </c>
      <c r="K244" s="177">
        <v>3.9573800000000001</v>
      </c>
      <c r="L244" s="177"/>
      <c r="M244" s="10">
        <f t="shared" si="71"/>
        <v>100</v>
      </c>
      <c r="N244" s="10"/>
      <c r="O244" s="132"/>
      <c r="P244" s="169"/>
      <c r="Q244" s="134"/>
      <c r="R244" s="154"/>
    </row>
    <row r="245" spans="2:18" ht="48" x14ac:dyDescent="0.3">
      <c r="B245" s="8"/>
      <c r="C245" s="67" t="s">
        <v>380</v>
      </c>
      <c r="D245" s="174">
        <f t="shared" si="68"/>
        <v>6.3241699999999996</v>
      </c>
      <c r="E245" s="177">
        <v>6.3241699999999996</v>
      </c>
      <c r="F245" s="177"/>
      <c r="G245" s="174">
        <f t="shared" si="69"/>
        <v>6.3241699999999996</v>
      </c>
      <c r="H245" s="177">
        <v>6.3241699999999996</v>
      </c>
      <c r="I245" s="177"/>
      <c r="J245" s="174">
        <f t="shared" si="70"/>
        <v>6.3241699999999996</v>
      </c>
      <c r="K245" s="177">
        <v>6.3241699999999996</v>
      </c>
      <c r="L245" s="177"/>
      <c r="M245" s="10">
        <f t="shared" si="71"/>
        <v>100</v>
      </c>
      <c r="N245" s="10"/>
      <c r="O245" s="8" t="s">
        <v>198</v>
      </c>
      <c r="P245" s="4" t="s">
        <v>199</v>
      </c>
      <c r="Q245" s="74" t="s">
        <v>381</v>
      </c>
      <c r="R245" s="13"/>
    </row>
    <row r="246" spans="2:18" ht="103.2" customHeight="1" x14ac:dyDescent="0.3">
      <c r="B246" s="8" t="s">
        <v>17</v>
      </c>
      <c r="C246" s="14" t="s">
        <v>382</v>
      </c>
      <c r="D246" s="174">
        <f t="shared" si="68"/>
        <v>1.5440700000000001</v>
      </c>
      <c r="E246" s="177">
        <v>1.5440700000000001</v>
      </c>
      <c r="F246" s="177"/>
      <c r="G246" s="174">
        <f t="shared" si="69"/>
        <v>0</v>
      </c>
      <c r="H246" s="177"/>
      <c r="I246" s="177"/>
      <c r="J246" s="174">
        <f t="shared" si="70"/>
        <v>1.5440700000000001</v>
      </c>
      <c r="K246" s="177">
        <v>1.5440700000000001</v>
      </c>
      <c r="L246" s="177"/>
      <c r="M246" s="10">
        <f t="shared" si="71"/>
        <v>100</v>
      </c>
      <c r="N246" s="10"/>
      <c r="O246" s="4"/>
      <c r="P246" s="15" t="s">
        <v>383</v>
      </c>
      <c r="Q246" s="15" t="s">
        <v>384</v>
      </c>
      <c r="R246" s="13"/>
    </row>
    <row r="247" spans="2:18" ht="72" x14ac:dyDescent="0.3">
      <c r="B247" s="8"/>
      <c r="C247" s="14" t="s">
        <v>385</v>
      </c>
      <c r="D247" s="174">
        <f t="shared" si="68"/>
        <v>0.21</v>
      </c>
      <c r="E247" s="174">
        <v>0.21</v>
      </c>
      <c r="F247" s="177"/>
      <c r="G247" s="174">
        <f t="shared" si="69"/>
        <v>0.21</v>
      </c>
      <c r="H247" s="177">
        <v>0.21</v>
      </c>
      <c r="I247" s="177"/>
      <c r="J247" s="174">
        <f t="shared" si="70"/>
        <v>0.21</v>
      </c>
      <c r="K247" s="174">
        <v>0.21</v>
      </c>
      <c r="L247" s="174"/>
      <c r="M247" s="10">
        <f t="shared" si="71"/>
        <v>100</v>
      </c>
      <c r="N247" s="10"/>
      <c r="O247" s="23" t="s">
        <v>386</v>
      </c>
      <c r="P247" s="17" t="s">
        <v>120</v>
      </c>
      <c r="Q247" s="23" t="s">
        <v>190</v>
      </c>
      <c r="R247" s="13"/>
    </row>
    <row r="248" spans="2:18" ht="60" x14ac:dyDescent="0.3">
      <c r="B248" s="8"/>
      <c r="C248" s="14" t="s">
        <v>387</v>
      </c>
      <c r="D248" s="174">
        <f t="shared" si="37"/>
        <v>0.26100000000000001</v>
      </c>
      <c r="E248" s="194">
        <v>0.26100000000000001</v>
      </c>
      <c r="F248" s="194"/>
      <c r="G248" s="174">
        <f t="shared" si="38"/>
        <v>0.26100000000000001</v>
      </c>
      <c r="H248" s="194">
        <v>0.26100000000000001</v>
      </c>
      <c r="I248" s="194"/>
      <c r="J248" s="174">
        <f t="shared" si="39"/>
        <v>0.26100000000000001</v>
      </c>
      <c r="K248" s="194">
        <v>0.26100000000000001</v>
      </c>
      <c r="L248" s="177"/>
      <c r="M248" s="10">
        <f t="shared" si="33"/>
        <v>100.00000000000001</v>
      </c>
      <c r="N248" s="10"/>
      <c r="O248" s="8" t="s">
        <v>388</v>
      </c>
      <c r="P248" s="24" t="s">
        <v>189</v>
      </c>
      <c r="Q248" s="23" t="s">
        <v>389</v>
      </c>
      <c r="R248" s="13"/>
    </row>
    <row r="249" spans="2:18" ht="72" x14ac:dyDescent="0.3">
      <c r="B249" s="8"/>
      <c r="C249" s="80" t="s">
        <v>390</v>
      </c>
      <c r="D249" s="174">
        <f t="shared" si="37"/>
        <v>143.91057000000001</v>
      </c>
      <c r="E249" s="176">
        <v>143.91057000000001</v>
      </c>
      <c r="F249" s="176"/>
      <c r="G249" s="174">
        <f t="shared" si="38"/>
        <v>151.69999000000001</v>
      </c>
      <c r="H249" s="176">
        <v>151.69999000000001</v>
      </c>
      <c r="I249" s="176"/>
      <c r="J249" s="174">
        <f t="shared" si="39"/>
        <v>22.697610000000001</v>
      </c>
      <c r="K249" s="176">
        <v>22.697610000000001</v>
      </c>
      <c r="L249" s="193"/>
      <c r="M249" s="10">
        <f t="shared" si="33"/>
        <v>15.77202425089415</v>
      </c>
      <c r="N249" s="10">
        <v>100</v>
      </c>
      <c r="O249" s="8" t="s">
        <v>391</v>
      </c>
      <c r="P249" s="24" t="s">
        <v>392</v>
      </c>
      <c r="Q249" s="61" t="s">
        <v>393</v>
      </c>
      <c r="R249" s="13"/>
    </row>
    <row r="250" spans="2:18" ht="36" x14ac:dyDescent="0.3">
      <c r="B250" s="8"/>
      <c r="C250" s="81" t="s">
        <v>394</v>
      </c>
      <c r="D250" s="174">
        <f t="shared" si="37"/>
        <v>50</v>
      </c>
      <c r="E250" s="176">
        <v>50</v>
      </c>
      <c r="F250" s="176"/>
      <c r="G250" s="174">
        <f t="shared" si="38"/>
        <v>70</v>
      </c>
      <c r="H250" s="176">
        <v>70</v>
      </c>
      <c r="I250" s="176"/>
      <c r="J250" s="174">
        <f t="shared" si="39"/>
        <v>0</v>
      </c>
      <c r="K250" s="176"/>
      <c r="L250" s="177"/>
      <c r="M250" s="10">
        <f t="shared" si="33"/>
        <v>0</v>
      </c>
      <c r="N250" s="10"/>
      <c r="O250" s="8" t="s">
        <v>152</v>
      </c>
      <c r="P250" s="24" t="s">
        <v>153</v>
      </c>
      <c r="Q250" s="43" t="s">
        <v>225</v>
      </c>
      <c r="R250" s="13"/>
    </row>
    <row r="251" spans="2:18" ht="60" x14ac:dyDescent="0.3">
      <c r="B251" s="8"/>
      <c r="C251" s="59" t="s">
        <v>395</v>
      </c>
      <c r="D251" s="174">
        <f t="shared" si="37"/>
        <v>130.75715000000002</v>
      </c>
      <c r="E251" s="177">
        <f>137.60193-E252</f>
        <v>130.75715000000002</v>
      </c>
      <c r="F251" s="177"/>
      <c r="G251" s="174">
        <f t="shared" si="38"/>
        <v>130.75715000000002</v>
      </c>
      <c r="H251" s="177">
        <f>137.60193-H252</f>
        <v>130.75715000000002</v>
      </c>
      <c r="I251" s="177"/>
      <c r="J251" s="174">
        <f t="shared" si="39"/>
        <v>100.71711999999999</v>
      </c>
      <c r="K251" s="177">
        <f>32.54212+68.175</f>
        <v>100.71711999999999</v>
      </c>
      <c r="L251" s="177"/>
      <c r="M251" s="149">
        <f>(J251+J252)/(D251+D252)%</f>
        <v>78.168889055553194</v>
      </c>
      <c r="N251" s="10">
        <v>100</v>
      </c>
      <c r="O251" s="131" t="s">
        <v>396</v>
      </c>
      <c r="P251" s="166">
        <v>95</v>
      </c>
      <c r="Q251" s="160" t="s">
        <v>397</v>
      </c>
      <c r="R251" s="13"/>
    </row>
    <row r="252" spans="2:18" ht="60" x14ac:dyDescent="0.3">
      <c r="B252" s="8"/>
      <c r="C252" s="59" t="s">
        <v>497</v>
      </c>
      <c r="D252" s="174">
        <f t="shared" si="37"/>
        <v>6.8447800000000001</v>
      </c>
      <c r="E252" s="177">
        <v>6.8447800000000001</v>
      </c>
      <c r="F252" s="177"/>
      <c r="G252" s="174">
        <f t="shared" si="38"/>
        <v>6.8447800000000001</v>
      </c>
      <c r="H252" s="177">
        <v>6.8447800000000001</v>
      </c>
      <c r="I252" s="177"/>
      <c r="J252" s="174">
        <f t="shared" si="39"/>
        <v>6.8447800000000001</v>
      </c>
      <c r="K252" s="177">
        <v>6.8447800000000001</v>
      </c>
      <c r="L252" s="177"/>
      <c r="M252" s="150"/>
      <c r="N252" s="10"/>
      <c r="O252" s="132"/>
      <c r="P252" s="167"/>
      <c r="Q252" s="161"/>
      <c r="R252" s="13"/>
    </row>
    <row r="253" spans="2:18" ht="63" customHeight="1" x14ac:dyDescent="0.3">
      <c r="B253" s="8"/>
      <c r="C253" s="42" t="s">
        <v>78</v>
      </c>
      <c r="D253" s="174">
        <f t="shared" si="37"/>
        <v>7.4973900000000002</v>
      </c>
      <c r="E253" s="177">
        <v>7.4973900000000002</v>
      </c>
      <c r="F253" s="177"/>
      <c r="G253" s="174">
        <f t="shared" si="38"/>
        <v>27.124790000000001</v>
      </c>
      <c r="H253" s="177">
        <v>27.124790000000001</v>
      </c>
      <c r="I253" s="177"/>
      <c r="J253" s="174">
        <f t="shared" si="39"/>
        <v>7.4926599999999999</v>
      </c>
      <c r="K253" s="177">
        <f>0.69772+2.70067+4.09427</f>
        <v>7.4926599999999999</v>
      </c>
      <c r="L253" s="177"/>
      <c r="M253" s="10">
        <f t="shared" si="33"/>
        <v>99.936911378493051</v>
      </c>
      <c r="N253" s="10"/>
      <c r="O253" s="4" t="s">
        <v>79</v>
      </c>
      <c r="P253" s="82">
        <v>17</v>
      </c>
      <c r="Q253" s="36" t="s">
        <v>40</v>
      </c>
      <c r="R253" s="13"/>
    </row>
    <row r="254" spans="2:18" ht="48" x14ac:dyDescent="0.3">
      <c r="B254" s="8"/>
      <c r="C254" s="59" t="s">
        <v>398</v>
      </c>
      <c r="D254" s="174">
        <f t="shared" si="37"/>
        <v>8.9052500000000006</v>
      </c>
      <c r="E254" s="177">
        <v>8.9052500000000006</v>
      </c>
      <c r="F254" s="177"/>
      <c r="G254" s="174">
        <f t="shared" si="38"/>
        <v>8.9052500000000006</v>
      </c>
      <c r="H254" s="177">
        <v>8.9052500000000006</v>
      </c>
      <c r="I254" s="177"/>
      <c r="J254" s="174">
        <f t="shared" si="39"/>
        <v>8.5391200000000005</v>
      </c>
      <c r="K254" s="177">
        <v>8.5391200000000005</v>
      </c>
      <c r="L254" s="177"/>
      <c r="M254" s="10">
        <f>J254/D254%</f>
        <v>95.88860503635496</v>
      </c>
      <c r="N254" s="10">
        <v>100</v>
      </c>
      <c r="O254" s="4" t="s">
        <v>35</v>
      </c>
      <c r="P254" s="82">
        <v>39</v>
      </c>
      <c r="Q254" s="59" t="s">
        <v>399</v>
      </c>
      <c r="R254" s="13"/>
    </row>
    <row r="255" spans="2:18" ht="57" customHeight="1" x14ac:dyDescent="0.3">
      <c r="B255" s="8"/>
      <c r="C255" s="59" t="s">
        <v>359</v>
      </c>
      <c r="D255" s="174">
        <f t="shared" si="37"/>
        <v>40</v>
      </c>
      <c r="E255" s="177">
        <v>40</v>
      </c>
      <c r="F255" s="177"/>
      <c r="G255" s="174">
        <f t="shared" si="38"/>
        <v>69.078000000000003</v>
      </c>
      <c r="H255" s="177">
        <v>69.078000000000003</v>
      </c>
      <c r="I255" s="177"/>
      <c r="J255" s="174">
        <f t="shared" si="39"/>
        <v>0</v>
      </c>
      <c r="K255" s="177"/>
      <c r="L255" s="177"/>
      <c r="M255" s="10">
        <f>J255/D255%</f>
        <v>0</v>
      </c>
      <c r="N255" s="10"/>
      <c r="O255" s="4" t="s">
        <v>38</v>
      </c>
      <c r="P255" s="82" t="s">
        <v>39</v>
      </c>
      <c r="Q255" s="36" t="s">
        <v>40</v>
      </c>
      <c r="R255" s="13"/>
    </row>
    <row r="256" spans="2:18" ht="84" x14ac:dyDescent="0.3">
      <c r="B256" s="8"/>
      <c r="C256" s="91" t="s">
        <v>654</v>
      </c>
      <c r="D256" s="174">
        <f t="shared" si="37"/>
        <v>0.51861000000000002</v>
      </c>
      <c r="E256" s="176">
        <v>0.51861000000000002</v>
      </c>
      <c r="F256" s="176"/>
      <c r="G256" s="174">
        <f t="shared" ref="G256:G257" si="72">H256+I256</f>
        <v>0.51861000000000002</v>
      </c>
      <c r="H256" s="176">
        <v>0.51861000000000002</v>
      </c>
      <c r="I256" s="177"/>
      <c r="J256" s="174">
        <f t="shared" ref="J256:J257" si="73">K256+L256</f>
        <v>0</v>
      </c>
      <c r="K256" s="177"/>
      <c r="L256" s="177"/>
      <c r="M256" s="10">
        <f t="shared" ref="M256:M261" si="74">J256/D256%</f>
        <v>0</v>
      </c>
      <c r="N256" s="10"/>
      <c r="O256" s="4" t="s">
        <v>559</v>
      </c>
      <c r="P256" s="82">
        <v>29</v>
      </c>
      <c r="Q256" s="33" t="s">
        <v>80</v>
      </c>
      <c r="R256" s="13"/>
    </row>
    <row r="257" spans="2:18" ht="55.8" customHeight="1" x14ac:dyDescent="0.3">
      <c r="B257" s="8"/>
      <c r="C257" s="111" t="s">
        <v>655</v>
      </c>
      <c r="D257" s="174">
        <f t="shared" si="37"/>
        <v>2.1020699999999999</v>
      </c>
      <c r="E257" s="176">
        <v>2.1020699999999999</v>
      </c>
      <c r="F257" s="176"/>
      <c r="G257" s="174">
        <f t="shared" si="72"/>
        <v>2.1020699999999999</v>
      </c>
      <c r="H257" s="176">
        <v>2.1020699999999999</v>
      </c>
      <c r="I257" s="177"/>
      <c r="J257" s="174">
        <f t="shared" si="73"/>
        <v>0</v>
      </c>
      <c r="K257" s="177"/>
      <c r="L257" s="177"/>
      <c r="M257" s="10">
        <f t="shared" si="74"/>
        <v>0</v>
      </c>
      <c r="N257" s="10"/>
      <c r="O257" s="4" t="s">
        <v>523</v>
      </c>
      <c r="P257" s="82">
        <v>109</v>
      </c>
      <c r="Q257" s="112" t="s">
        <v>80</v>
      </c>
      <c r="R257" s="13"/>
    </row>
    <row r="258" spans="2:18" x14ac:dyDescent="0.3">
      <c r="B258" s="8"/>
      <c r="C258" s="99" t="s">
        <v>400</v>
      </c>
      <c r="D258" s="174">
        <f t="shared" si="37"/>
        <v>8.8517899999999994</v>
      </c>
      <c r="E258" s="177"/>
      <c r="F258" s="193">
        <v>8.8517899999999994</v>
      </c>
      <c r="G258" s="174"/>
      <c r="H258" s="177"/>
      <c r="I258" s="177"/>
      <c r="J258" s="174"/>
      <c r="K258" s="177"/>
      <c r="L258" s="177"/>
      <c r="M258" s="10">
        <f t="shared" si="74"/>
        <v>0</v>
      </c>
      <c r="N258" s="10"/>
      <c r="O258" s="4"/>
      <c r="P258" s="82"/>
      <c r="Q258" s="36"/>
      <c r="R258" s="13"/>
    </row>
    <row r="259" spans="2:18" x14ac:dyDescent="0.3">
      <c r="B259" s="8"/>
      <c r="C259" s="99" t="s">
        <v>401</v>
      </c>
      <c r="D259" s="174">
        <f t="shared" ref="D259:D261" si="75">E259+F259</f>
        <v>3.6829999999999998</v>
      </c>
      <c r="E259" s="177"/>
      <c r="F259" s="193">
        <v>3.6829999999999998</v>
      </c>
      <c r="G259" s="174">
        <f t="shared" ref="G259:G260" si="76">H259+I259</f>
        <v>0</v>
      </c>
      <c r="H259" s="177"/>
      <c r="I259" s="177"/>
      <c r="J259" s="174">
        <f t="shared" ref="J259:J260" si="77">K259+L259</f>
        <v>0</v>
      </c>
      <c r="K259" s="177"/>
      <c r="L259" s="177"/>
      <c r="M259" s="10">
        <f t="shared" si="74"/>
        <v>0</v>
      </c>
      <c r="N259" s="10"/>
      <c r="O259" s="4"/>
      <c r="P259" s="27"/>
      <c r="Q259" s="36"/>
      <c r="R259" s="13"/>
    </row>
    <row r="260" spans="2:18" ht="24" x14ac:dyDescent="0.3">
      <c r="B260" s="8"/>
      <c r="C260" s="91" t="s">
        <v>402</v>
      </c>
      <c r="D260" s="174">
        <f t="shared" si="75"/>
        <v>0.90078999999999998</v>
      </c>
      <c r="E260" s="176"/>
      <c r="F260" s="176">
        <v>0.90078999999999998</v>
      </c>
      <c r="G260" s="174">
        <f t="shared" si="76"/>
        <v>0</v>
      </c>
      <c r="H260" s="177"/>
      <c r="I260" s="177"/>
      <c r="J260" s="174">
        <f t="shared" si="77"/>
        <v>0</v>
      </c>
      <c r="K260" s="177"/>
      <c r="L260" s="177"/>
      <c r="M260" s="10">
        <f t="shared" si="74"/>
        <v>0</v>
      </c>
      <c r="N260" s="10"/>
      <c r="O260" s="4"/>
      <c r="P260" s="27"/>
      <c r="Q260" s="36"/>
      <c r="R260" s="13"/>
    </row>
    <row r="261" spans="2:18" x14ac:dyDescent="0.3">
      <c r="B261" s="8"/>
      <c r="C261" s="91"/>
      <c r="D261" s="174">
        <f t="shared" si="75"/>
        <v>2.4399999999999999E-3</v>
      </c>
      <c r="E261" s="176">
        <v>2.4399999999999999E-3</v>
      </c>
      <c r="F261" s="176"/>
      <c r="G261" s="174"/>
      <c r="H261" s="177"/>
      <c r="I261" s="177"/>
      <c r="J261" s="174"/>
      <c r="K261" s="177"/>
      <c r="L261" s="177"/>
      <c r="M261" s="10">
        <f t="shared" si="74"/>
        <v>0</v>
      </c>
      <c r="N261" s="10"/>
      <c r="O261" s="4"/>
      <c r="P261" s="27"/>
      <c r="Q261" s="36"/>
      <c r="R261" s="13"/>
    </row>
    <row r="262" spans="2:18" x14ac:dyDescent="0.3">
      <c r="B262" s="21"/>
      <c r="C262" s="9" t="s">
        <v>41</v>
      </c>
      <c r="D262" s="173">
        <f t="shared" si="37"/>
        <v>1191.2064300000002</v>
      </c>
      <c r="E262" s="198">
        <f>SUM(E241:E261)</f>
        <v>1099.3523700000001</v>
      </c>
      <c r="F262" s="198">
        <f>SUM(F241:F261)</f>
        <v>91.854060000000004</v>
      </c>
      <c r="G262" s="173">
        <f t="shared" si="38"/>
        <v>1628.4111499999999</v>
      </c>
      <c r="H262" s="198">
        <f>SUM(H241:H250)</f>
        <v>988.48315000000002</v>
      </c>
      <c r="I262" s="198">
        <f>SUM(I241:I250)</f>
        <v>639.928</v>
      </c>
      <c r="J262" s="173">
        <f t="shared" si="39"/>
        <v>703.36648000000002</v>
      </c>
      <c r="K262" s="198">
        <f>SUM(K241:K254)</f>
        <v>625.13648999999998</v>
      </c>
      <c r="L262" s="198">
        <f>SUM(L241:L250)</f>
        <v>78.229990000000001</v>
      </c>
      <c r="M262" s="75">
        <f t="shared" ref="M262:M316" si="78">J262/D262%</f>
        <v>59.046565086120282</v>
      </c>
      <c r="N262" s="10"/>
      <c r="O262" s="8"/>
      <c r="P262" s="11"/>
      <c r="Q262" s="12"/>
      <c r="R262" s="13"/>
    </row>
    <row r="263" spans="2:18" ht="84" x14ac:dyDescent="0.3">
      <c r="B263" s="21" t="s">
        <v>403</v>
      </c>
      <c r="C263" s="9" t="s">
        <v>404</v>
      </c>
      <c r="D263" s="173"/>
      <c r="E263" s="172"/>
      <c r="F263" s="172"/>
      <c r="G263" s="173"/>
      <c r="H263" s="174"/>
      <c r="I263" s="175"/>
      <c r="J263" s="173"/>
      <c r="K263" s="174"/>
      <c r="L263" s="174"/>
      <c r="M263" s="10"/>
      <c r="N263" s="10"/>
      <c r="O263" s="23"/>
      <c r="P263" s="17"/>
      <c r="Q263" s="23"/>
      <c r="R263" s="13"/>
    </row>
    <row r="264" spans="2:18" ht="48" x14ac:dyDescent="0.3">
      <c r="B264" s="8"/>
      <c r="C264" s="14" t="s">
        <v>405</v>
      </c>
      <c r="D264" s="174">
        <f t="shared" si="37"/>
        <v>57.096229999999998</v>
      </c>
      <c r="E264" s="174"/>
      <c r="F264" s="174">
        <f>G264+H264</f>
        <v>57.096229999999998</v>
      </c>
      <c r="G264" s="174">
        <f t="shared" si="38"/>
        <v>57.096229999999998</v>
      </c>
      <c r="H264" s="174"/>
      <c r="I264" s="177">
        <v>57.096229999999998</v>
      </c>
      <c r="J264" s="174">
        <f t="shared" si="39"/>
        <v>57.096229999999998</v>
      </c>
      <c r="K264" s="177"/>
      <c r="L264" s="177">
        <f>55.89329+1.20294</f>
        <v>57.096229999999998</v>
      </c>
      <c r="M264" s="10">
        <f t="shared" si="78"/>
        <v>99.999999999999986</v>
      </c>
      <c r="N264" s="10"/>
      <c r="O264" s="83" t="s">
        <v>406</v>
      </c>
      <c r="P264" s="84" t="s">
        <v>407</v>
      </c>
      <c r="Q264" s="15" t="s">
        <v>408</v>
      </c>
      <c r="R264" s="13"/>
    </row>
    <row r="265" spans="2:18" ht="48" x14ac:dyDescent="0.3">
      <c r="B265" s="8"/>
      <c r="C265" s="14" t="s">
        <v>405</v>
      </c>
      <c r="D265" s="174">
        <f t="shared" si="37"/>
        <v>343.83906000000002</v>
      </c>
      <c r="E265" s="174"/>
      <c r="F265" s="174">
        <v>343.83906000000002</v>
      </c>
      <c r="G265" s="174">
        <f t="shared" si="38"/>
        <v>460.46677</v>
      </c>
      <c r="H265" s="174"/>
      <c r="I265" s="176">
        <v>460.46677</v>
      </c>
      <c r="J265" s="174">
        <f t="shared" si="39"/>
        <v>300.44961000000001</v>
      </c>
      <c r="K265" s="177"/>
      <c r="L265" s="177">
        <f>34.84136+265.60825</f>
        <v>300.44961000000001</v>
      </c>
      <c r="M265" s="10">
        <f t="shared" si="78"/>
        <v>87.380883951927984</v>
      </c>
      <c r="N265" s="10"/>
      <c r="O265" s="4" t="s">
        <v>409</v>
      </c>
      <c r="P265" s="27" t="s">
        <v>410</v>
      </c>
      <c r="Q265" s="15" t="s">
        <v>408</v>
      </c>
      <c r="R265" s="13"/>
    </row>
    <row r="266" spans="2:18" ht="84" x14ac:dyDescent="0.3">
      <c r="B266" s="8"/>
      <c r="C266" s="91" t="s">
        <v>654</v>
      </c>
      <c r="D266" s="174">
        <f t="shared" si="37"/>
        <v>1E-3</v>
      </c>
      <c r="E266" s="176">
        <v>1E-3</v>
      </c>
      <c r="F266" s="176"/>
      <c r="G266" s="174">
        <f t="shared" ref="G266" si="79">H266+I266</f>
        <v>1E-3</v>
      </c>
      <c r="H266" s="176">
        <v>1E-3</v>
      </c>
      <c r="I266" s="176"/>
      <c r="J266" s="174">
        <f t="shared" ref="J266" si="80">K266+L266</f>
        <v>0</v>
      </c>
      <c r="K266" s="177"/>
      <c r="L266" s="176"/>
      <c r="M266" s="10">
        <f t="shared" si="78"/>
        <v>0</v>
      </c>
      <c r="N266" s="10"/>
      <c r="O266" s="4" t="s">
        <v>559</v>
      </c>
      <c r="P266" s="82">
        <v>29</v>
      </c>
      <c r="Q266" s="33" t="s">
        <v>80</v>
      </c>
      <c r="R266" s="13"/>
    </row>
    <row r="267" spans="2:18" hidden="1" x14ac:dyDescent="0.3">
      <c r="B267" s="8"/>
      <c r="C267" s="14" t="s">
        <v>411</v>
      </c>
      <c r="D267" s="174"/>
      <c r="E267" s="174"/>
      <c r="F267" s="176"/>
      <c r="G267" s="174"/>
      <c r="H267" s="174"/>
      <c r="I267" s="176"/>
      <c r="J267" s="174"/>
      <c r="K267" s="177"/>
      <c r="L267" s="177"/>
      <c r="M267" s="10"/>
      <c r="N267" s="10"/>
      <c r="O267" s="4"/>
      <c r="P267" s="27"/>
      <c r="Q267" s="15"/>
      <c r="R267" s="13"/>
    </row>
    <row r="268" spans="2:18" x14ac:dyDescent="0.3">
      <c r="B268" s="8"/>
      <c r="C268" s="99" t="s">
        <v>412</v>
      </c>
      <c r="D268" s="174"/>
      <c r="E268" s="174"/>
      <c r="F268" s="176">
        <v>8.3016000000000005</v>
      </c>
      <c r="G268" s="174"/>
      <c r="H268" s="174"/>
      <c r="I268" s="176"/>
      <c r="J268" s="174"/>
      <c r="K268" s="177"/>
      <c r="L268" s="177"/>
      <c r="M268" s="10"/>
      <c r="N268" s="10"/>
      <c r="O268" s="4"/>
      <c r="P268" s="27"/>
      <c r="Q268" s="15"/>
      <c r="R268" s="13"/>
    </row>
    <row r="269" spans="2:18" x14ac:dyDescent="0.3">
      <c r="B269" s="8"/>
      <c r="C269" s="99" t="s">
        <v>611</v>
      </c>
      <c r="D269" s="174">
        <f t="shared" ref="D269" si="81">E269+F269</f>
        <v>78.765200000000007</v>
      </c>
      <c r="E269" s="176">
        <v>1E-3</v>
      </c>
      <c r="F269" s="176">
        <v>78.764200000000002</v>
      </c>
      <c r="G269" s="174">
        <f t="shared" ref="G269" si="82">H269+I269</f>
        <v>0</v>
      </c>
      <c r="H269" s="199"/>
      <c r="I269" s="176"/>
      <c r="J269" s="174">
        <f t="shared" ref="J269" si="83">K269+L269</f>
        <v>0</v>
      </c>
      <c r="K269" s="177"/>
      <c r="L269" s="176"/>
      <c r="M269" s="10">
        <f t="shared" ref="M269" si="84">J269/D269%</f>
        <v>0</v>
      </c>
      <c r="N269" s="10"/>
      <c r="O269" s="6"/>
      <c r="P269" s="6"/>
      <c r="Q269" s="6"/>
      <c r="R269" s="13"/>
    </row>
    <row r="270" spans="2:18" x14ac:dyDescent="0.3">
      <c r="B270" s="21"/>
      <c r="C270" s="9" t="s">
        <v>41</v>
      </c>
      <c r="D270" s="173">
        <f t="shared" si="37"/>
        <v>488.00309000000004</v>
      </c>
      <c r="E270" s="173">
        <f>SUM(E264:E269)</f>
        <v>2E-3</v>
      </c>
      <c r="F270" s="173">
        <f>SUM(F264:F269)</f>
        <v>488.00109000000003</v>
      </c>
      <c r="G270" s="173">
        <f t="shared" si="38"/>
        <v>517.56299999999999</v>
      </c>
      <c r="H270" s="173">
        <f>SUM(H264:H265)</f>
        <v>0</v>
      </c>
      <c r="I270" s="173">
        <f>SUM(I264:I265)</f>
        <v>517.56299999999999</v>
      </c>
      <c r="J270" s="173">
        <f t="shared" si="39"/>
        <v>357.54584</v>
      </c>
      <c r="K270" s="173">
        <f>SUM(K264:K265)</f>
        <v>0</v>
      </c>
      <c r="L270" s="173">
        <f>SUM(L264:L265)</f>
        <v>357.54584</v>
      </c>
      <c r="M270" s="75">
        <f t="shared" si="78"/>
        <v>73.267126238893283</v>
      </c>
      <c r="N270" s="10"/>
      <c r="O270" s="8"/>
      <c r="P270" s="11"/>
      <c r="Q270" s="12"/>
      <c r="R270" s="13"/>
    </row>
    <row r="271" spans="2:18" ht="48" x14ac:dyDescent="0.3">
      <c r="B271" s="21" t="s">
        <v>413</v>
      </c>
      <c r="C271" s="9" t="s">
        <v>414</v>
      </c>
      <c r="D271" s="173"/>
      <c r="E271" s="172"/>
      <c r="F271" s="172"/>
      <c r="G271" s="173"/>
      <c r="H271" s="174"/>
      <c r="I271" s="175"/>
      <c r="J271" s="173"/>
      <c r="K271" s="174"/>
      <c r="L271" s="174"/>
      <c r="M271" s="10"/>
      <c r="N271" s="10"/>
      <c r="O271" s="23"/>
      <c r="P271" s="17"/>
      <c r="Q271" s="23"/>
      <c r="R271" s="13"/>
    </row>
    <row r="272" spans="2:18" ht="60" x14ac:dyDescent="0.3">
      <c r="B272" s="8"/>
      <c r="C272" s="25" t="s">
        <v>415</v>
      </c>
      <c r="D272" s="174">
        <f t="shared" ref="D272:D297" si="85">E272+F272</f>
        <v>7.8682400000000001</v>
      </c>
      <c r="E272" s="185">
        <v>7.8682400000000001</v>
      </c>
      <c r="F272" s="185"/>
      <c r="G272" s="174">
        <f t="shared" ref="G272:G316" si="86">H272+I272</f>
        <v>7.8682400000000001</v>
      </c>
      <c r="H272" s="185">
        <v>7.8682400000000001</v>
      </c>
      <c r="I272" s="179"/>
      <c r="J272" s="174">
        <f t="shared" ref="J272:J316" si="87">K272+L272</f>
        <v>7.8682400000000001</v>
      </c>
      <c r="K272" s="185">
        <v>7.8682400000000001</v>
      </c>
      <c r="L272" s="177"/>
      <c r="M272" s="10">
        <f t="shared" si="78"/>
        <v>100</v>
      </c>
      <c r="N272" s="125"/>
      <c r="O272" s="4" t="s">
        <v>416</v>
      </c>
      <c r="P272" s="27" t="s">
        <v>417</v>
      </c>
      <c r="Q272" s="15" t="s">
        <v>418</v>
      </c>
      <c r="R272" s="85"/>
    </row>
    <row r="273" spans="2:19" ht="48" x14ac:dyDescent="0.3">
      <c r="B273" s="8"/>
      <c r="C273" s="14" t="s">
        <v>419</v>
      </c>
      <c r="D273" s="174">
        <f t="shared" si="85"/>
        <v>12.754799999999999</v>
      </c>
      <c r="E273" s="177">
        <v>12.754799999999999</v>
      </c>
      <c r="F273" s="177"/>
      <c r="G273" s="174">
        <f t="shared" si="86"/>
        <v>12.754799999999999</v>
      </c>
      <c r="H273" s="177">
        <v>12.754799999999999</v>
      </c>
      <c r="I273" s="174"/>
      <c r="J273" s="174">
        <f t="shared" si="87"/>
        <v>12.754099999999999</v>
      </c>
      <c r="K273" s="177">
        <v>12.754099999999999</v>
      </c>
      <c r="L273" s="177"/>
      <c r="M273" s="10">
        <f t="shared" si="78"/>
        <v>99.99451187004108</v>
      </c>
      <c r="N273" s="10"/>
      <c r="O273" s="86" t="s">
        <v>198</v>
      </c>
      <c r="P273" s="69" t="s">
        <v>199</v>
      </c>
      <c r="Q273" s="86" t="s">
        <v>200</v>
      </c>
      <c r="R273" s="69"/>
    </row>
    <row r="274" spans="2:19" ht="72" x14ac:dyDescent="0.3">
      <c r="B274" s="8"/>
      <c r="C274" s="14" t="s">
        <v>420</v>
      </c>
      <c r="D274" s="174">
        <f t="shared" si="85"/>
        <v>86.958629999999999</v>
      </c>
      <c r="E274" s="177">
        <v>86.958629999999999</v>
      </c>
      <c r="F274" s="177"/>
      <c r="G274" s="174">
        <f t="shared" si="86"/>
        <v>86.958629999999999</v>
      </c>
      <c r="H274" s="177">
        <v>86.958629999999999</v>
      </c>
      <c r="I274" s="174"/>
      <c r="J274" s="174">
        <f t="shared" si="87"/>
        <v>86.958629999999999</v>
      </c>
      <c r="K274" s="177">
        <f>11.97846+74.98017</f>
        <v>86.958629999999999</v>
      </c>
      <c r="L274" s="177"/>
      <c r="M274" s="10">
        <f t="shared" si="78"/>
        <v>100</v>
      </c>
      <c r="N274" s="10"/>
      <c r="O274" s="86" t="s">
        <v>421</v>
      </c>
      <c r="P274" s="87">
        <v>141</v>
      </c>
      <c r="Q274" s="15" t="s">
        <v>422</v>
      </c>
      <c r="R274" s="69"/>
    </row>
    <row r="275" spans="2:19" ht="72" x14ac:dyDescent="0.3">
      <c r="B275" s="8"/>
      <c r="C275" s="14" t="s">
        <v>423</v>
      </c>
      <c r="D275" s="174">
        <f t="shared" si="85"/>
        <v>86.510480000000001</v>
      </c>
      <c r="E275" s="174">
        <v>86.510480000000001</v>
      </c>
      <c r="F275" s="174"/>
      <c r="G275" s="174">
        <f t="shared" si="86"/>
        <v>86.510480000000001</v>
      </c>
      <c r="H275" s="174">
        <v>86.510480000000001</v>
      </c>
      <c r="I275" s="179"/>
      <c r="J275" s="174">
        <f t="shared" si="87"/>
        <v>86.510480000000001</v>
      </c>
      <c r="K275" s="177">
        <v>86.510480000000001</v>
      </c>
      <c r="L275" s="177"/>
      <c r="M275" s="10">
        <f t="shared" si="78"/>
        <v>100</v>
      </c>
      <c r="N275" s="10"/>
      <c r="O275" s="86" t="s">
        <v>421</v>
      </c>
      <c r="P275" s="69" t="s">
        <v>424</v>
      </c>
      <c r="Q275" s="15" t="s">
        <v>422</v>
      </c>
      <c r="R275" s="13"/>
    </row>
    <row r="276" spans="2:19" ht="72" x14ac:dyDescent="0.3">
      <c r="B276" s="8"/>
      <c r="C276" s="14" t="s">
        <v>425</v>
      </c>
      <c r="D276" s="174">
        <f t="shared" si="85"/>
        <v>60.15128</v>
      </c>
      <c r="E276" s="177">
        <v>60.15128</v>
      </c>
      <c r="F276" s="177"/>
      <c r="G276" s="174">
        <f t="shared" si="86"/>
        <v>60.15128</v>
      </c>
      <c r="H276" s="177">
        <v>60.15128</v>
      </c>
      <c r="I276" s="179"/>
      <c r="J276" s="174">
        <f t="shared" si="87"/>
        <v>57.019379999999998</v>
      </c>
      <c r="K276" s="177">
        <v>57.019379999999998</v>
      </c>
      <c r="L276" s="177"/>
      <c r="M276" s="10">
        <f t="shared" si="78"/>
        <v>94.793294506783567</v>
      </c>
      <c r="N276" s="10">
        <v>100</v>
      </c>
      <c r="O276" s="4" t="s">
        <v>426</v>
      </c>
      <c r="P276" s="4" t="s">
        <v>427</v>
      </c>
      <c r="Q276" s="15" t="s">
        <v>428</v>
      </c>
      <c r="R276" s="13"/>
    </row>
    <row r="277" spans="2:19" ht="60" x14ac:dyDescent="0.3">
      <c r="B277" s="13"/>
      <c r="C277" s="14" t="s">
        <v>429</v>
      </c>
      <c r="D277" s="174">
        <f t="shared" si="85"/>
        <v>54.356020000000001</v>
      </c>
      <c r="E277" s="200">
        <v>54.356020000000001</v>
      </c>
      <c r="F277" s="200"/>
      <c r="G277" s="174">
        <f t="shared" si="86"/>
        <v>54.356020000000001</v>
      </c>
      <c r="H277" s="200">
        <v>54.356020000000001</v>
      </c>
      <c r="I277" s="200"/>
      <c r="J277" s="174">
        <f t="shared" si="87"/>
        <v>51.540059999999997</v>
      </c>
      <c r="K277" s="200">
        <v>51.540059999999997</v>
      </c>
      <c r="L277" s="200"/>
      <c r="M277" s="10">
        <f t="shared" si="78"/>
        <v>94.81941466648955</v>
      </c>
      <c r="N277" s="10">
        <v>100</v>
      </c>
      <c r="O277" s="4" t="s">
        <v>426</v>
      </c>
      <c r="P277" s="11" t="s">
        <v>430</v>
      </c>
      <c r="Q277" s="15" t="s">
        <v>428</v>
      </c>
      <c r="R277" s="13"/>
    </row>
    <row r="278" spans="2:19" ht="36.6" customHeight="1" x14ac:dyDescent="0.3">
      <c r="B278" s="13"/>
      <c r="C278" s="14" t="s">
        <v>431</v>
      </c>
      <c r="D278" s="174">
        <f t="shared" si="85"/>
        <v>98.321010000000001</v>
      </c>
      <c r="E278" s="200">
        <v>98.321010000000001</v>
      </c>
      <c r="F278" s="200"/>
      <c r="G278" s="174">
        <f t="shared" si="86"/>
        <v>98.320999999999998</v>
      </c>
      <c r="H278" s="200">
        <v>98.320999999999998</v>
      </c>
      <c r="I278" s="200"/>
      <c r="J278" s="174">
        <f t="shared" si="87"/>
        <v>91.211960000000005</v>
      </c>
      <c r="K278" s="200">
        <v>91.211960000000005</v>
      </c>
      <c r="L278" s="200"/>
      <c r="M278" s="10">
        <f t="shared" si="78"/>
        <v>92.769551492605714</v>
      </c>
      <c r="N278" s="10">
        <v>100</v>
      </c>
      <c r="O278" s="13" t="s">
        <v>432</v>
      </c>
      <c r="P278" s="41" t="s">
        <v>433</v>
      </c>
      <c r="Q278" s="15" t="s">
        <v>434</v>
      </c>
      <c r="R278" s="13"/>
    </row>
    <row r="279" spans="2:19" ht="60" x14ac:dyDescent="0.3">
      <c r="B279" s="13"/>
      <c r="C279" s="80" t="s">
        <v>435</v>
      </c>
      <c r="D279" s="174">
        <f t="shared" si="85"/>
        <v>92.216999999999999</v>
      </c>
      <c r="E279" s="200">
        <v>92.216999999999999</v>
      </c>
      <c r="F279" s="200"/>
      <c r="G279" s="174">
        <f t="shared" si="86"/>
        <v>92.216999999999999</v>
      </c>
      <c r="H279" s="200">
        <v>92.216999999999999</v>
      </c>
      <c r="I279" s="200"/>
      <c r="J279" s="174">
        <f t="shared" si="87"/>
        <v>91.941400000000002</v>
      </c>
      <c r="K279" s="200">
        <v>91.941400000000002</v>
      </c>
      <c r="L279" s="200"/>
      <c r="M279" s="10">
        <f t="shared" si="78"/>
        <v>99.701139703091627</v>
      </c>
      <c r="N279" s="10"/>
      <c r="O279" s="13" t="s">
        <v>436</v>
      </c>
      <c r="P279" s="41" t="s">
        <v>437</v>
      </c>
      <c r="Q279" s="36"/>
      <c r="R279" s="13"/>
    </row>
    <row r="280" spans="2:19" ht="48" x14ac:dyDescent="0.3">
      <c r="B280" s="13"/>
      <c r="C280" s="88" t="s">
        <v>438</v>
      </c>
      <c r="D280" s="174">
        <f t="shared" si="85"/>
        <v>135.04463999999999</v>
      </c>
      <c r="E280" s="200">
        <v>135.04463999999999</v>
      </c>
      <c r="F280" s="200"/>
      <c r="G280" s="174">
        <f t="shared" si="86"/>
        <v>135.04463999999999</v>
      </c>
      <c r="H280" s="200">
        <v>135.04463999999999</v>
      </c>
      <c r="I280" s="200"/>
      <c r="J280" s="174">
        <f t="shared" si="87"/>
        <v>58.860999999999997</v>
      </c>
      <c r="K280" s="200">
        <f>43.861+15</f>
        <v>58.860999999999997</v>
      </c>
      <c r="L280" s="200"/>
      <c r="M280" s="10">
        <f t="shared" si="78"/>
        <v>43.586328194884302</v>
      </c>
      <c r="N280" s="10">
        <v>80</v>
      </c>
      <c r="O280" s="13" t="s">
        <v>439</v>
      </c>
      <c r="P280" s="48">
        <v>158</v>
      </c>
      <c r="Q280" s="86" t="s">
        <v>440</v>
      </c>
      <c r="R280" s="13"/>
    </row>
    <row r="281" spans="2:19" ht="84" x14ac:dyDescent="0.3">
      <c r="B281" s="13"/>
      <c r="C281" s="59" t="s">
        <v>441</v>
      </c>
      <c r="D281" s="174">
        <f t="shared" si="85"/>
        <v>23.402999999999999</v>
      </c>
      <c r="E281" s="200">
        <v>23.402999999999999</v>
      </c>
      <c r="F281" s="200"/>
      <c r="G281" s="174">
        <f t="shared" si="86"/>
        <v>31.984000000000002</v>
      </c>
      <c r="H281" s="200">
        <v>31.984000000000002</v>
      </c>
      <c r="I281" s="200"/>
      <c r="J281" s="174">
        <f t="shared" si="87"/>
        <v>21.888479999999998</v>
      </c>
      <c r="K281" s="200">
        <f>2.21216+1.17123+18.50509</f>
        <v>21.888479999999998</v>
      </c>
      <c r="L281" s="200"/>
      <c r="M281" s="10">
        <f t="shared" si="78"/>
        <v>93.528521984360978</v>
      </c>
      <c r="N281" s="10"/>
      <c r="O281" s="13" t="s">
        <v>159</v>
      </c>
      <c r="P281" s="48">
        <v>17</v>
      </c>
      <c r="Q281" s="59" t="s">
        <v>80</v>
      </c>
      <c r="R281" s="13"/>
      <c r="S281" s="93"/>
    </row>
    <row r="282" spans="2:19" ht="37.200000000000003" customHeight="1" x14ac:dyDescent="0.3">
      <c r="B282" s="57"/>
      <c r="C282" s="95" t="s">
        <v>442</v>
      </c>
      <c r="D282" s="189">
        <f t="shared" si="85"/>
        <v>637.69100000000003</v>
      </c>
      <c r="E282" s="201">
        <v>637.69100000000003</v>
      </c>
      <c r="F282" s="201"/>
      <c r="G282" s="189">
        <f t="shared" si="86"/>
        <v>637.69100000000003</v>
      </c>
      <c r="H282" s="201">
        <v>637.69100000000003</v>
      </c>
      <c r="I282" s="201"/>
      <c r="J282" s="189">
        <f t="shared" si="87"/>
        <v>157.58509000000001</v>
      </c>
      <c r="K282" s="201">
        <f>74.46303+83.12206</f>
        <v>157.58509000000001</v>
      </c>
      <c r="L282" s="201"/>
      <c r="M282" s="125">
        <f t="shared" si="78"/>
        <v>24.71182594704959</v>
      </c>
      <c r="N282" s="125">
        <v>35</v>
      </c>
      <c r="O282" s="57" t="s">
        <v>443</v>
      </c>
      <c r="P282" s="89">
        <v>162</v>
      </c>
      <c r="Q282" s="95" t="s">
        <v>444</v>
      </c>
      <c r="R282" s="57"/>
    </row>
    <row r="283" spans="2:19" ht="28.2" customHeight="1" x14ac:dyDescent="0.3">
      <c r="B283" s="13"/>
      <c r="C283" s="59" t="s">
        <v>445</v>
      </c>
      <c r="D283" s="189">
        <f t="shared" si="85"/>
        <v>163.70322999999999</v>
      </c>
      <c r="E283" s="200">
        <v>8.1851599999999998</v>
      </c>
      <c r="F283" s="201">
        <v>155.51806999999999</v>
      </c>
      <c r="G283" s="189">
        <f t="shared" si="86"/>
        <v>163.70323300000001</v>
      </c>
      <c r="H283" s="200">
        <v>8.1841644999999996</v>
      </c>
      <c r="I283" s="201">
        <v>155.5190685</v>
      </c>
      <c r="J283" s="189">
        <f t="shared" si="87"/>
        <v>73.298540000000017</v>
      </c>
      <c r="K283" s="200">
        <v>3.8855400000000002</v>
      </c>
      <c r="L283" s="200">
        <f>3.47069+65.94231</f>
        <v>69.413000000000011</v>
      </c>
      <c r="M283" s="125">
        <f t="shared" si="78"/>
        <v>44.775255808941594</v>
      </c>
      <c r="N283" s="10">
        <v>100</v>
      </c>
      <c r="O283" s="13" t="s">
        <v>446</v>
      </c>
      <c r="P283" s="48">
        <v>49</v>
      </c>
      <c r="Q283" s="59" t="s">
        <v>447</v>
      </c>
      <c r="R283" s="13"/>
    </row>
    <row r="284" spans="2:19" ht="48" x14ac:dyDescent="0.3">
      <c r="B284" s="13"/>
      <c r="C284" s="59" t="s">
        <v>419</v>
      </c>
      <c r="D284" s="189">
        <f t="shared" si="85"/>
        <v>90</v>
      </c>
      <c r="E284" s="200">
        <v>90</v>
      </c>
      <c r="F284" s="200"/>
      <c r="G284" s="189">
        <f t="shared" si="86"/>
        <v>113.247</v>
      </c>
      <c r="H284" s="200">
        <v>113.247</v>
      </c>
      <c r="I284" s="201"/>
      <c r="J284" s="189">
        <f t="shared" si="87"/>
        <v>0</v>
      </c>
      <c r="K284" s="200"/>
      <c r="L284" s="200"/>
      <c r="M284" s="125">
        <f t="shared" si="78"/>
        <v>0</v>
      </c>
      <c r="N284" s="10"/>
      <c r="O284" s="13" t="s">
        <v>448</v>
      </c>
      <c r="P284" s="48" t="s">
        <v>153</v>
      </c>
      <c r="Q284" s="59" t="s">
        <v>354</v>
      </c>
      <c r="R284" s="13"/>
    </row>
    <row r="285" spans="2:19" ht="61.8" customHeight="1" x14ac:dyDescent="0.3">
      <c r="B285" s="13"/>
      <c r="C285" s="59" t="s">
        <v>449</v>
      </c>
      <c r="D285" s="189">
        <f t="shared" si="85"/>
        <v>50</v>
      </c>
      <c r="E285" s="200">
        <v>50</v>
      </c>
      <c r="F285" s="200"/>
      <c r="G285" s="189">
        <f t="shared" si="86"/>
        <v>76.492999999999995</v>
      </c>
      <c r="H285" s="200">
        <v>76.492999999999995</v>
      </c>
      <c r="I285" s="201"/>
      <c r="J285" s="189">
        <f t="shared" si="87"/>
        <v>1.91272</v>
      </c>
      <c r="K285" s="200">
        <v>1.91272</v>
      </c>
      <c r="L285" s="200"/>
      <c r="M285" s="125">
        <f t="shared" si="78"/>
        <v>3.82544</v>
      </c>
      <c r="N285" s="10"/>
      <c r="O285" s="13" t="s">
        <v>38</v>
      </c>
      <c r="P285" s="48" t="s">
        <v>39</v>
      </c>
      <c r="Q285" s="59" t="s">
        <v>40</v>
      </c>
      <c r="R285" s="13"/>
    </row>
    <row r="286" spans="2:19" ht="48" x14ac:dyDescent="0.3">
      <c r="B286" s="13"/>
      <c r="C286" s="59" t="s">
        <v>450</v>
      </c>
      <c r="D286" s="189">
        <f t="shared" si="85"/>
        <v>139.99974</v>
      </c>
      <c r="E286" s="200">
        <f>139.99974-F286</f>
        <v>6.9334900000000061</v>
      </c>
      <c r="F286" s="200">
        <v>133.06625</v>
      </c>
      <c r="G286" s="189">
        <f t="shared" si="86"/>
        <v>139.99974</v>
      </c>
      <c r="H286" s="200">
        <f>139.99974-I286</f>
        <v>6.9334900000000061</v>
      </c>
      <c r="I286" s="200">
        <v>133.06625</v>
      </c>
      <c r="J286" s="189">
        <f t="shared" si="87"/>
        <v>139.31036</v>
      </c>
      <c r="K286" s="200">
        <v>6.24411</v>
      </c>
      <c r="L286" s="200">
        <v>133.06625</v>
      </c>
      <c r="M286" s="125">
        <f t="shared" si="78"/>
        <v>99.507584799800355</v>
      </c>
      <c r="N286" s="10"/>
      <c r="O286" s="90" t="s">
        <v>451</v>
      </c>
      <c r="P286" s="48" t="s">
        <v>452</v>
      </c>
      <c r="Q286" s="59" t="s">
        <v>434</v>
      </c>
      <c r="R286" s="13"/>
    </row>
    <row r="287" spans="2:19" ht="48" x14ac:dyDescent="0.3">
      <c r="B287" s="13"/>
      <c r="C287" s="59" t="s">
        <v>453</v>
      </c>
      <c r="D287" s="189">
        <f t="shared" si="85"/>
        <v>137.08235999999999</v>
      </c>
      <c r="E287" s="200">
        <f>137.08236-F287</f>
        <v>6.8541199999999947</v>
      </c>
      <c r="F287" s="200">
        <v>130.22824</v>
      </c>
      <c r="G287" s="189">
        <f t="shared" si="86"/>
        <v>137.5</v>
      </c>
      <c r="H287" s="200">
        <v>6.875</v>
      </c>
      <c r="I287" s="201">
        <v>130.625</v>
      </c>
      <c r="J287" s="189">
        <f t="shared" si="87"/>
        <v>127.90654000000001</v>
      </c>
      <c r="K287" s="200"/>
      <c r="L287" s="200">
        <v>127.90654000000001</v>
      </c>
      <c r="M287" s="125">
        <f t="shared" si="78"/>
        <v>93.306345178183392</v>
      </c>
      <c r="N287" s="10">
        <v>100</v>
      </c>
      <c r="O287" s="13" t="s">
        <v>451</v>
      </c>
      <c r="P287" s="48" t="s">
        <v>454</v>
      </c>
      <c r="Q287" s="59" t="s">
        <v>418</v>
      </c>
      <c r="R287" s="13"/>
    </row>
    <row r="288" spans="2:19" ht="38.4" customHeight="1" x14ac:dyDescent="0.3">
      <c r="B288" s="13"/>
      <c r="C288" s="99" t="s">
        <v>560</v>
      </c>
      <c r="D288" s="189">
        <f t="shared" si="85"/>
        <v>59.489040000000003</v>
      </c>
      <c r="E288" s="200">
        <v>59.489040000000003</v>
      </c>
      <c r="F288" s="193"/>
      <c r="G288" s="189">
        <f t="shared" ref="G288:G297" si="88">H288+I288</f>
        <v>59.489040000000003</v>
      </c>
      <c r="H288" s="200">
        <v>59.489040000000003</v>
      </c>
      <c r="I288" s="201"/>
      <c r="J288" s="189">
        <f t="shared" ref="J288:J297" si="89">K288+L288</f>
        <v>59.489040000000003</v>
      </c>
      <c r="K288" s="200">
        <v>59.489040000000003</v>
      </c>
      <c r="L288" s="200"/>
      <c r="M288" s="125">
        <f t="shared" si="78"/>
        <v>100</v>
      </c>
      <c r="N288" s="10"/>
      <c r="O288" s="13" t="s">
        <v>562</v>
      </c>
      <c r="P288" s="48" t="s">
        <v>563</v>
      </c>
      <c r="Q288" s="112" t="s">
        <v>561</v>
      </c>
      <c r="R288" s="13"/>
    </row>
    <row r="289" spans="2:18" ht="37.200000000000003" customHeight="1" x14ac:dyDescent="0.3">
      <c r="B289" s="13"/>
      <c r="C289" s="59" t="s">
        <v>564</v>
      </c>
      <c r="D289" s="189">
        <f t="shared" si="85"/>
        <v>1.355</v>
      </c>
      <c r="E289" s="200">
        <v>1.355</v>
      </c>
      <c r="F289" s="193"/>
      <c r="G289" s="189">
        <f t="shared" si="88"/>
        <v>1.355</v>
      </c>
      <c r="H289" s="201">
        <v>1.355</v>
      </c>
      <c r="I289" s="201"/>
      <c r="J289" s="189">
        <f t="shared" si="89"/>
        <v>1.355</v>
      </c>
      <c r="K289" s="200">
        <v>1.355</v>
      </c>
      <c r="L289" s="200"/>
      <c r="M289" s="125">
        <f t="shared" si="78"/>
        <v>100</v>
      </c>
      <c r="N289" s="10"/>
      <c r="O289" s="13" t="s">
        <v>566</v>
      </c>
      <c r="P289" s="48" t="s">
        <v>567</v>
      </c>
      <c r="Q289" s="59" t="s">
        <v>565</v>
      </c>
      <c r="R289" s="13"/>
    </row>
    <row r="290" spans="2:18" ht="60" x14ac:dyDescent="0.3">
      <c r="B290" s="13"/>
      <c r="C290" s="59" t="s">
        <v>568</v>
      </c>
      <c r="D290" s="189">
        <f t="shared" si="85"/>
        <v>15.927</v>
      </c>
      <c r="E290" s="200">
        <v>15.927</v>
      </c>
      <c r="F290" s="193"/>
      <c r="G290" s="189">
        <f t="shared" si="88"/>
        <v>18.527180000000001</v>
      </c>
      <c r="H290" s="201">
        <v>18.527180000000001</v>
      </c>
      <c r="I290" s="201"/>
      <c r="J290" s="189">
        <f t="shared" si="89"/>
        <v>15.918839999999999</v>
      </c>
      <c r="K290" s="200">
        <f>4.90184+11.017</f>
        <v>15.918839999999999</v>
      </c>
      <c r="L290" s="200"/>
      <c r="M290" s="125">
        <f t="shared" si="78"/>
        <v>99.948766245997362</v>
      </c>
      <c r="N290" s="10"/>
      <c r="O290" s="13" t="s">
        <v>570</v>
      </c>
      <c r="P290" s="48">
        <v>115</v>
      </c>
      <c r="Q290" s="59" t="s">
        <v>569</v>
      </c>
      <c r="R290" s="13"/>
    </row>
    <row r="291" spans="2:18" ht="48" x14ac:dyDescent="0.3">
      <c r="B291" s="13"/>
      <c r="C291" s="59" t="s">
        <v>571</v>
      </c>
      <c r="D291" s="189">
        <f t="shared" si="85"/>
        <v>50</v>
      </c>
      <c r="E291" s="200">
        <v>50</v>
      </c>
      <c r="F291" s="193"/>
      <c r="G291" s="189">
        <f t="shared" si="88"/>
        <v>84.228250000000003</v>
      </c>
      <c r="H291" s="201">
        <v>84.228250000000003</v>
      </c>
      <c r="I291" s="201"/>
      <c r="J291" s="189">
        <f t="shared" si="89"/>
        <v>0</v>
      </c>
      <c r="K291" s="200"/>
      <c r="L291" s="200"/>
      <c r="M291" s="125">
        <f t="shared" si="78"/>
        <v>0</v>
      </c>
      <c r="N291" s="10">
        <v>100</v>
      </c>
      <c r="O291" s="13" t="s">
        <v>572</v>
      </c>
      <c r="P291" s="48">
        <v>83</v>
      </c>
      <c r="Q291" s="59" t="s">
        <v>434</v>
      </c>
      <c r="R291" s="13"/>
    </row>
    <row r="292" spans="2:18" ht="72" x14ac:dyDescent="0.3">
      <c r="B292" s="13"/>
      <c r="C292" s="111" t="s">
        <v>668</v>
      </c>
      <c r="D292" s="189">
        <f t="shared" si="85"/>
        <v>4.7430000000000003</v>
      </c>
      <c r="E292" s="200">
        <v>4.7430000000000003</v>
      </c>
      <c r="F292" s="193"/>
      <c r="G292" s="189">
        <f t="shared" si="88"/>
        <v>4.7430000000000003</v>
      </c>
      <c r="H292" s="201">
        <v>4.7430000000000003</v>
      </c>
      <c r="I292" s="201"/>
      <c r="J292" s="189">
        <f t="shared" si="89"/>
        <v>0</v>
      </c>
      <c r="K292" s="200"/>
      <c r="L292" s="200"/>
      <c r="M292" s="125">
        <f t="shared" si="78"/>
        <v>0</v>
      </c>
      <c r="N292" s="10"/>
      <c r="O292" s="13" t="s">
        <v>573</v>
      </c>
      <c r="P292" s="48">
        <v>109</v>
      </c>
      <c r="Q292" s="112" t="s">
        <v>80</v>
      </c>
      <c r="R292" s="13"/>
    </row>
    <row r="293" spans="2:18" ht="84" x14ac:dyDescent="0.3">
      <c r="B293" s="13"/>
      <c r="C293" s="91" t="s">
        <v>654</v>
      </c>
      <c r="D293" s="189">
        <f t="shared" ref="D293:D294" si="90">E293+F293</f>
        <v>2.7903099999999998</v>
      </c>
      <c r="E293" s="200">
        <v>2.7903099999999998</v>
      </c>
      <c r="F293" s="193"/>
      <c r="G293" s="189">
        <f t="shared" ref="G293:G294" si="91">H293+I293</f>
        <v>2.7903099999999998</v>
      </c>
      <c r="H293" s="201">
        <v>2.7903099999999998</v>
      </c>
      <c r="I293" s="201"/>
      <c r="J293" s="189">
        <f t="shared" ref="J293:J294" si="92">K293+L293</f>
        <v>0</v>
      </c>
      <c r="K293" s="200"/>
      <c r="L293" s="200"/>
      <c r="M293" s="125">
        <f t="shared" si="78"/>
        <v>0</v>
      </c>
      <c r="N293" s="10"/>
      <c r="O293" s="4" t="s">
        <v>559</v>
      </c>
      <c r="P293" s="82">
        <v>29</v>
      </c>
      <c r="Q293" s="33" t="s">
        <v>80</v>
      </c>
      <c r="R293" s="13"/>
    </row>
    <row r="294" spans="2:18" x14ac:dyDescent="0.3">
      <c r="B294" s="13"/>
      <c r="C294" s="99" t="s">
        <v>612</v>
      </c>
      <c r="D294" s="189">
        <f t="shared" si="90"/>
        <v>6.4999999999999997E-4</v>
      </c>
      <c r="E294" s="200"/>
      <c r="F294" s="193">
        <v>6.4999999999999997E-4</v>
      </c>
      <c r="G294" s="189">
        <f t="shared" si="91"/>
        <v>0</v>
      </c>
      <c r="H294" s="201"/>
      <c r="I294" s="201"/>
      <c r="J294" s="189">
        <f t="shared" si="92"/>
        <v>0</v>
      </c>
      <c r="K294" s="200"/>
      <c r="L294" s="200"/>
      <c r="M294" s="125">
        <f t="shared" ref="M294" si="93">J294/D294%</f>
        <v>0</v>
      </c>
      <c r="N294" s="10"/>
      <c r="O294" s="13"/>
      <c r="P294" s="48"/>
      <c r="Q294" s="59"/>
      <c r="R294" s="13"/>
    </row>
    <row r="295" spans="2:18" x14ac:dyDescent="0.3">
      <c r="B295" s="13"/>
      <c r="C295" s="99" t="s">
        <v>613</v>
      </c>
      <c r="D295" s="189"/>
      <c r="E295" s="200"/>
      <c r="F295" s="193">
        <v>0.39844000000000002</v>
      </c>
      <c r="G295" s="189"/>
      <c r="H295" s="201"/>
      <c r="I295" s="201"/>
      <c r="J295" s="189"/>
      <c r="K295" s="200"/>
      <c r="L295" s="200"/>
      <c r="M295" s="125"/>
      <c r="N295" s="10"/>
      <c r="O295" s="13"/>
      <c r="P295" s="48"/>
      <c r="Q295" s="59"/>
      <c r="R295" s="13"/>
    </row>
    <row r="296" spans="2:18" x14ac:dyDescent="0.3">
      <c r="B296" s="13"/>
      <c r="C296" s="59"/>
      <c r="D296" s="189"/>
      <c r="E296" s="200">
        <v>3.6000000000000002E-4</v>
      </c>
      <c r="F296" s="193"/>
      <c r="G296" s="189"/>
      <c r="H296" s="201"/>
      <c r="I296" s="201"/>
      <c r="J296" s="189"/>
      <c r="K296" s="200"/>
      <c r="L296" s="200"/>
      <c r="M296" s="10"/>
      <c r="N296" s="10"/>
      <c r="O296" s="13"/>
      <c r="P296" s="48"/>
      <c r="Q296" s="59"/>
      <c r="R296" s="13"/>
    </row>
    <row r="297" spans="2:18" x14ac:dyDescent="0.3">
      <c r="B297" s="13"/>
      <c r="C297" s="99"/>
      <c r="D297" s="202">
        <f t="shared" si="85"/>
        <v>2010.7652299999997</v>
      </c>
      <c r="E297" s="203">
        <f>SUM(E272:E296)</f>
        <v>1591.5535799999998</v>
      </c>
      <c r="F297" s="203">
        <f>SUM(F272:F296)</f>
        <v>419.21164999999996</v>
      </c>
      <c r="G297" s="202">
        <f t="shared" si="88"/>
        <v>2105.932843</v>
      </c>
      <c r="H297" s="203">
        <f>SUM(H272:H293)</f>
        <v>1686.7225245000002</v>
      </c>
      <c r="I297" s="203">
        <f>SUM(I272:I290)</f>
        <v>419.21031849999997</v>
      </c>
      <c r="J297" s="202">
        <f t="shared" si="89"/>
        <v>1143.3298600000003</v>
      </c>
      <c r="K297" s="203">
        <f>SUM(K272:K290)</f>
        <v>812.94407000000012</v>
      </c>
      <c r="L297" s="203">
        <f>SUM(L272:L290)</f>
        <v>330.38579000000004</v>
      </c>
      <c r="M297" s="121">
        <f t="shared" ref="M297" si="94">J297/D297%</f>
        <v>56.860435168754158</v>
      </c>
      <c r="N297" s="10"/>
      <c r="O297" s="13"/>
      <c r="P297" s="48"/>
      <c r="Q297" s="59"/>
      <c r="R297" s="13"/>
    </row>
    <row r="298" spans="2:18" ht="48" x14ac:dyDescent="0.3">
      <c r="B298" s="21" t="s">
        <v>455</v>
      </c>
      <c r="C298" s="9" t="s">
        <v>456</v>
      </c>
      <c r="D298" s="173"/>
      <c r="E298" s="174"/>
      <c r="F298" s="174"/>
      <c r="G298" s="173"/>
      <c r="H298" s="174"/>
      <c r="I298" s="174"/>
      <c r="J298" s="173"/>
      <c r="K298" s="174"/>
      <c r="L298" s="174"/>
      <c r="M298" s="10"/>
      <c r="N298" s="10"/>
      <c r="O298" s="8"/>
      <c r="P298" s="41"/>
      <c r="Q298" s="12"/>
      <c r="R298" s="13"/>
    </row>
    <row r="299" spans="2:18" ht="60" x14ac:dyDescent="0.3">
      <c r="B299" s="21"/>
      <c r="C299" s="14" t="s">
        <v>457</v>
      </c>
      <c r="D299" s="174">
        <f t="shared" ref="D299:D308" si="95">E299+F299</f>
        <v>165.24296000000001</v>
      </c>
      <c r="E299" s="174">
        <v>165.24296000000001</v>
      </c>
      <c r="F299" s="174"/>
      <c r="G299" s="174">
        <f t="shared" ref="G299:G308" si="96">H299+I299</f>
        <v>165.24296000000001</v>
      </c>
      <c r="H299" s="174">
        <v>165.24296000000001</v>
      </c>
      <c r="I299" s="174"/>
      <c r="J299" s="174">
        <f t="shared" ref="J299:J308" si="97">K299+L299</f>
        <v>164.50629000000001</v>
      </c>
      <c r="K299" s="174">
        <v>164.50629000000001</v>
      </c>
      <c r="L299" s="174"/>
      <c r="M299" s="10">
        <f t="shared" si="78"/>
        <v>99.554189782124453</v>
      </c>
      <c r="N299" s="10"/>
      <c r="O299" s="8" t="s">
        <v>458</v>
      </c>
      <c r="P299" s="84" t="s">
        <v>459</v>
      </c>
      <c r="Q299" s="15" t="s">
        <v>399</v>
      </c>
      <c r="R299" s="13"/>
    </row>
    <row r="300" spans="2:18" ht="48" x14ac:dyDescent="0.3">
      <c r="B300" s="21"/>
      <c r="C300" s="14" t="s">
        <v>460</v>
      </c>
      <c r="D300" s="174">
        <f t="shared" si="95"/>
        <v>273.09994</v>
      </c>
      <c r="E300" s="174">
        <v>273.09994</v>
      </c>
      <c r="F300" s="174"/>
      <c r="G300" s="174">
        <f t="shared" si="96"/>
        <v>273.09994</v>
      </c>
      <c r="H300" s="174">
        <v>273.09994</v>
      </c>
      <c r="I300" s="174"/>
      <c r="J300" s="174">
        <f t="shared" si="97"/>
        <v>269.65667999999999</v>
      </c>
      <c r="K300" s="174">
        <f>219.65668+50</f>
        <v>269.65667999999999</v>
      </c>
      <c r="L300" s="174"/>
      <c r="M300" s="10">
        <f t="shared" si="78"/>
        <v>98.73919415727444</v>
      </c>
      <c r="N300" s="10">
        <v>100</v>
      </c>
      <c r="O300" s="8" t="s">
        <v>574</v>
      </c>
      <c r="P300" s="84" t="s">
        <v>461</v>
      </c>
      <c r="Q300" s="8" t="s">
        <v>462</v>
      </c>
      <c r="R300" s="13"/>
    </row>
    <row r="301" spans="2:18" ht="82.2" customHeight="1" x14ac:dyDescent="0.3">
      <c r="B301" s="21"/>
      <c r="C301" s="59" t="s">
        <v>463</v>
      </c>
      <c r="D301" s="174">
        <f t="shared" si="95"/>
        <v>0.4</v>
      </c>
      <c r="E301" s="174">
        <v>0.4</v>
      </c>
      <c r="F301" s="174"/>
      <c r="G301" s="174">
        <f t="shared" si="96"/>
        <v>0</v>
      </c>
      <c r="H301" s="174"/>
      <c r="I301" s="174"/>
      <c r="J301" s="174">
        <f t="shared" si="97"/>
        <v>0.4</v>
      </c>
      <c r="K301" s="174">
        <v>0.4</v>
      </c>
      <c r="L301" s="174"/>
      <c r="M301" s="10">
        <f t="shared" si="78"/>
        <v>100</v>
      </c>
      <c r="N301" s="10"/>
      <c r="O301" s="8"/>
      <c r="P301" s="59" t="s">
        <v>464</v>
      </c>
      <c r="Q301" s="116" t="s">
        <v>130</v>
      </c>
      <c r="R301" s="13"/>
    </row>
    <row r="302" spans="2:18" ht="84" x14ac:dyDescent="0.3">
      <c r="B302" s="21"/>
      <c r="C302" s="14" t="s">
        <v>465</v>
      </c>
      <c r="D302" s="174">
        <f t="shared" si="95"/>
        <v>17.96256</v>
      </c>
      <c r="E302" s="174">
        <v>17.96256</v>
      </c>
      <c r="F302" s="174"/>
      <c r="G302" s="174">
        <f t="shared" si="96"/>
        <v>17.96256</v>
      </c>
      <c r="H302" s="174">
        <v>17.96256</v>
      </c>
      <c r="I302" s="174"/>
      <c r="J302" s="174">
        <f t="shared" si="97"/>
        <v>17.27169</v>
      </c>
      <c r="K302" s="174">
        <v>17.27169</v>
      </c>
      <c r="L302" s="174"/>
      <c r="M302" s="10">
        <f t="shared" si="78"/>
        <v>96.153833306611091</v>
      </c>
      <c r="N302" s="10">
        <v>100</v>
      </c>
      <c r="O302" s="8" t="s">
        <v>466</v>
      </c>
      <c r="P302" s="91">
        <v>53</v>
      </c>
      <c r="Q302" s="8" t="s">
        <v>467</v>
      </c>
      <c r="R302" s="13"/>
    </row>
    <row r="303" spans="2:18" ht="96" x14ac:dyDescent="0.3">
      <c r="B303" s="21"/>
      <c r="C303" s="59" t="s">
        <v>512</v>
      </c>
      <c r="D303" s="174">
        <f t="shared" ref="D303" si="98">E303+F303</f>
        <v>8.6</v>
      </c>
      <c r="E303" s="174">
        <v>8.6</v>
      </c>
      <c r="F303" s="174"/>
      <c r="G303" s="174">
        <f t="shared" ref="G303" si="99">H303+I303</f>
        <v>8.6</v>
      </c>
      <c r="H303" s="174">
        <v>8.6</v>
      </c>
      <c r="I303" s="174"/>
      <c r="J303" s="174">
        <f t="shared" ref="J303" si="100">K303+L303</f>
        <v>8.5556800000000006</v>
      </c>
      <c r="K303" s="174">
        <v>8.5556800000000006</v>
      </c>
      <c r="L303" s="174"/>
      <c r="M303" s="10">
        <f t="shared" si="78"/>
        <v>99.484651162790712</v>
      </c>
      <c r="N303" s="10"/>
      <c r="O303" s="8" t="s">
        <v>152</v>
      </c>
      <c r="P303" s="91" t="s">
        <v>153</v>
      </c>
      <c r="Q303" s="8" t="s">
        <v>511</v>
      </c>
      <c r="R303" s="13"/>
    </row>
    <row r="304" spans="2:18" ht="61.8" customHeight="1" x14ac:dyDescent="0.3">
      <c r="B304" s="21"/>
      <c r="C304" s="59" t="s">
        <v>449</v>
      </c>
      <c r="D304" s="174">
        <f t="shared" ref="D304:D307" si="101">E304+F304</f>
        <v>7.45</v>
      </c>
      <c r="E304" s="174">
        <v>7.45</v>
      </c>
      <c r="F304" s="174"/>
      <c r="G304" s="174">
        <f t="shared" ref="G304:G306" si="102">H304+I304</f>
        <v>7.45</v>
      </c>
      <c r="H304" s="174">
        <v>7.45</v>
      </c>
      <c r="I304" s="174"/>
      <c r="J304" s="174">
        <f t="shared" ref="J304:J306" si="103">K304+L304</f>
        <v>0</v>
      </c>
      <c r="K304" s="174"/>
      <c r="L304" s="174"/>
      <c r="M304" s="10">
        <f t="shared" si="78"/>
        <v>0</v>
      </c>
      <c r="N304" s="10"/>
      <c r="O304" s="4" t="s">
        <v>38</v>
      </c>
      <c r="P304" s="82" t="s">
        <v>39</v>
      </c>
      <c r="Q304" s="36" t="s">
        <v>40</v>
      </c>
      <c r="R304" s="13"/>
    </row>
    <row r="305" spans="2:18" ht="40.200000000000003" customHeight="1" x14ac:dyDescent="0.3">
      <c r="B305" s="21"/>
      <c r="C305" s="122" t="s">
        <v>658</v>
      </c>
      <c r="D305" s="174">
        <f t="shared" si="101"/>
        <v>52.42604</v>
      </c>
      <c r="E305" s="174">
        <v>52.42604</v>
      </c>
      <c r="F305" s="174"/>
      <c r="G305" s="174">
        <f t="shared" si="102"/>
        <v>52.42604</v>
      </c>
      <c r="H305" s="174">
        <v>52.42604</v>
      </c>
      <c r="I305" s="174"/>
      <c r="J305" s="174">
        <f t="shared" si="103"/>
        <v>0</v>
      </c>
      <c r="K305" s="174"/>
      <c r="L305" s="174"/>
      <c r="M305" s="10">
        <f t="shared" si="78"/>
        <v>0</v>
      </c>
      <c r="N305" s="10">
        <v>0</v>
      </c>
      <c r="O305" s="8" t="s">
        <v>657</v>
      </c>
      <c r="P305" s="91" t="s">
        <v>616</v>
      </c>
      <c r="Q305" s="8" t="s">
        <v>614</v>
      </c>
      <c r="R305" s="13"/>
    </row>
    <row r="306" spans="2:18" ht="42" customHeight="1" x14ac:dyDescent="0.3">
      <c r="B306" s="21"/>
      <c r="C306" s="42" t="s">
        <v>659</v>
      </c>
      <c r="D306" s="174">
        <f t="shared" si="101"/>
        <v>23.44659</v>
      </c>
      <c r="E306" s="174">
        <v>23.44659</v>
      </c>
      <c r="F306" s="174"/>
      <c r="G306" s="174">
        <f t="shared" si="102"/>
        <v>23.44659</v>
      </c>
      <c r="H306" s="174">
        <v>23.44659</v>
      </c>
      <c r="I306" s="174"/>
      <c r="J306" s="174">
        <f t="shared" si="103"/>
        <v>0</v>
      </c>
      <c r="K306" s="174"/>
      <c r="L306" s="174"/>
      <c r="M306" s="10">
        <f t="shared" si="78"/>
        <v>0</v>
      </c>
      <c r="N306" s="10">
        <v>0</v>
      </c>
      <c r="O306" s="8" t="s">
        <v>660</v>
      </c>
      <c r="P306" s="91" t="s">
        <v>615</v>
      </c>
      <c r="Q306" s="8" t="s">
        <v>614</v>
      </c>
      <c r="R306" s="13"/>
    </row>
    <row r="307" spans="2:18" x14ac:dyDescent="0.3">
      <c r="B307" s="21"/>
      <c r="C307" s="42"/>
      <c r="D307" s="174">
        <f t="shared" si="101"/>
        <v>0.48581000000000002</v>
      </c>
      <c r="E307" s="174">
        <v>0.48581000000000002</v>
      </c>
      <c r="F307" s="174"/>
      <c r="G307" s="174"/>
      <c r="H307" s="174"/>
      <c r="I307" s="174"/>
      <c r="J307" s="174"/>
      <c r="K307" s="174"/>
      <c r="L307" s="174"/>
      <c r="M307" s="10"/>
      <c r="N307" s="10"/>
      <c r="O307" s="8"/>
      <c r="P307" s="84"/>
      <c r="Q307" s="8"/>
      <c r="R307" s="13"/>
    </row>
    <row r="308" spans="2:18" x14ac:dyDescent="0.3">
      <c r="B308" s="21"/>
      <c r="C308" s="9" t="s">
        <v>41</v>
      </c>
      <c r="D308" s="173">
        <f t="shared" si="95"/>
        <v>549.11389999999994</v>
      </c>
      <c r="E308" s="173">
        <f>SUM(E299:E307)</f>
        <v>549.11389999999994</v>
      </c>
      <c r="F308" s="173">
        <f>SUM(F299:F302)</f>
        <v>0</v>
      </c>
      <c r="G308" s="173">
        <f t="shared" si="96"/>
        <v>464.90546000000001</v>
      </c>
      <c r="H308" s="173">
        <f>SUM(H299:H303)</f>
        <v>464.90546000000001</v>
      </c>
      <c r="I308" s="173">
        <f>SUM(I299:I302)</f>
        <v>0</v>
      </c>
      <c r="J308" s="173">
        <f t="shared" si="97"/>
        <v>460.39033999999992</v>
      </c>
      <c r="K308" s="173">
        <f>SUM(K299:K303)</f>
        <v>460.39033999999992</v>
      </c>
      <c r="L308" s="173">
        <f>SUM(L299:L302)</f>
        <v>0</v>
      </c>
      <c r="M308" s="75">
        <f t="shared" si="78"/>
        <v>83.842412293697166</v>
      </c>
      <c r="N308" s="10"/>
      <c r="O308" s="8"/>
      <c r="P308" s="11"/>
      <c r="Q308" s="12"/>
      <c r="R308" s="13"/>
    </row>
    <row r="309" spans="2:18" ht="84" x14ac:dyDescent="0.3">
      <c r="B309" s="21" t="s">
        <v>468</v>
      </c>
      <c r="C309" s="9" t="s">
        <v>469</v>
      </c>
      <c r="D309" s="173"/>
      <c r="E309" s="172"/>
      <c r="F309" s="172"/>
      <c r="G309" s="173"/>
      <c r="H309" s="174"/>
      <c r="I309" s="175"/>
      <c r="J309" s="173"/>
      <c r="K309" s="174"/>
      <c r="L309" s="174"/>
      <c r="M309" s="10"/>
      <c r="N309" s="10"/>
      <c r="O309" s="23"/>
      <c r="P309" s="17"/>
      <c r="Q309" s="23"/>
      <c r="R309" s="13"/>
    </row>
    <row r="310" spans="2:18" ht="108" x14ac:dyDescent="0.3">
      <c r="B310" s="21"/>
      <c r="C310" s="14" t="s">
        <v>470</v>
      </c>
      <c r="D310" s="174">
        <f t="shared" ref="D310:D313" si="104">E310+F310</f>
        <v>7.3133100000000004</v>
      </c>
      <c r="E310" s="174">
        <f>F310+G310</f>
        <v>7.3133100000000004</v>
      </c>
      <c r="F310" s="175"/>
      <c r="G310" s="174">
        <f t="shared" si="86"/>
        <v>7.3133100000000004</v>
      </c>
      <c r="H310" s="177">
        <v>7.3133100000000004</v>
      </c>
      <c r="I310" s="174"/>
      <c r="J310" s="174">
        <f t="shared" si="87"/>
        <v>7.3133100000000004</v>
      </c>
      <c r="K310" s="177">
        <v>7.3133100000000004</v>
      </c>
      <c r="L310" s="174"/>
      <c r="M310" s="10">
        <f t="shared" si="78"/>
        <v>100</v>
      </c>
      <c r="N310" s="10"/>
      <c r="O310" s="8" t="s">
        <v>471</v>
      </c>
      <c r="P310" s="17" t="s">
        <v>472</v>
      </c>
      <c r="Q310" s="36" t="s">
        <v>473</v>
      </c>
      <c r="R310" s="13"/>
    </row>
    <row r="311" spans="2:18" ht="57.6" customHeight="1" x14ac:dyDescent="0.3">
      <c r="B311" s="21"/>
      <c r="C311" s="59" t="s">
        <v>449</v>
      </c>
      <c r="D311" s="174">
        <f t="shared" si="104"/>
        <v>20</v>
      </c>
      <c r="E311" s="174">
        <v>20</v>
      </c>
      <c r="F311" s="175"/>
      <c r="G311" s="174">
        <f t="shared" si="86"/>
        <v>30</v>
      </c>
      <c r="H311" s="177">
        <v>30</v>
      </c>
      <c r="I311" s="174"/>
      <c r="J311" s="174">
        <f t="shared" si="87"/>
        <v>0</v>
      </c>
      <c r="K311" s="177"/>
      <c r="L311" s="174"/>
      <c r="M311" s="10">
        <f t="shared" si="78"/>
        <v>0</v>
      </c>
      <c r="N311" s="10"/>
      <c r="O311" s="8" t="s">
        <v>38</v>
      </c>
      <c r="P311" s="92" t="s">
        <v>39</v>
      </c>
      <c r="Q311" s="59" t="s">
        <v>40</v>
      </c>
      <c r="R311" s="13"/>
    </row>
    <row r="312" spans="2:18" ht="37.200000000000003" customHeight="1" x14ac:dyDescent="0.3">
      <c r="B312" s="21"/>
      <c r="C312" s="35" t="s">
        <v>475</v>
      </c>
      <c r="D312" s="174">
        <f t="shared" si="104"/>
        <v>782.30799999999999</v>
      </c>
      <c r="E312" s="177">
        <v>782.30799999999999</v>
      </c>
      <c r="F312" s="175"/>
      <c r="G312" s="174">
        <f t="shared" si="86"/>
        <v>1173.53694</v>
      </c>
      <c r="H312" s="177">
        <v>1173.53694</v>
      </c>
      <c r="I312" s="174"/>
      <c r="J312" s="174">
        <f t="shared" si="87"/>
        <v>303.74608999999998</v>
      </c>
      <c r="K312" s="177">
        <f>115.91594+187.83015</f>
        <v>303.74608999999998</v>
      </c>
      <c r="L312" s="174"/>
      <c r="M312" s="10">
        <f t="shared" si="78"/>
        <v>38.826918553817677</v>
      </c>
      <c r="N312" s="10">
        <v>30</v>
      </c>
      <c r="O312" s="23" t="s">
        <v>476</v>
      </c>
      <c r="P312" s="92">
        <v>156</v>
      </c>
      <c r="Q312" s="59" t="s">
        <v>444</v>
      </c>
      <c r="R312" s="13"/>
    </row>
    <row r="313" spans="2:18" ht="75.599999999999994" customHeight="1" x14ac:dyDescent="0.3">
      <c r="B313" s="21"/>
      <c r="C313" s="59" t="s">
        <v>656</v>
      </c>
      <c r="D313" s="174">
        <f t="shared" si="104"/>
        <v>2.7389999999999999</v>
      </c>
      <c r="E313" s="177">
        <v>2.7389999999999999</v>
      </c>
      <c r="F313" s="175"/>
      <c r="G313" s="174">
        <f t="shared" si="86"/>
        <v>10.212</v>
      </c>
      <c r="H313" s="177">
        <v>10.212</v>
      </c>
      <c r="I313" s="174"/>
      <c r="J313" s="174">
        <f t="shared" si="87"/>
        <v>1.0844800000000001</v>
      </c>
      <c r="K313" s="177">
        <v>1.0844800000000001</v>
      </c>
      <c r="L313" s="174"/>
      <c r="M313" s="10">
        <f t="shared" si="78"/>
        <v>39.594012413289526</v>
      </c>
      <c r="N313" s="10"/>
      <c r="O313" s="23" t="s">
        <v>523</v>
      </c>
      <c r="P313" s="92">
        <v>109</v>
      </c>
      <c r="Q313" s="112" t="s">
        <v>80</v>
      </c>
      <c r="R313" s="13"/>
    </row>
    <row r="314" spans="2:18" x14ac:dyDescent="0.3">
      <c r="B314" s="21"/>
      <c r="C314" s="35" t="s">
        <v>474</v>
      </c>
      <c r="D314" s="174">
        <f t="shared" ref="D314" si="105">E314+F314</f>
        <v>1.23E-3</v>
      </c>
      <c r="E314" s="177"/>
      <c r="F314" s="175">
        <v>1.23E-3</v>
      </c>
      <c r="G314" s="174">
        <f t="shared" ref="G314" si="106">H314+I314</f>
        <v>0</v>
      </c>
      <c r="H314" s="177"/>
      <c r="I314" s="174"/>
      <c r="J314" s="174">
        <f t="shared" ref="J314" si="107">K314+L314</f>
        <v>0</v>
      </c>
      <c r="K314" s="177"/>
      <c r="L314" s="174"/>
      <c r="M314" s="10">
        <f t="shared" ref="M314" si="108">J314/D314%</f>
        <v>0</v>
      </c>
      <c r="N314" s="10"/>
      <c r="O314" s="23"/>
      <c r="P314" s="17"/>
      <c r="Q314" s="36"/>
      <c r="R314" s="13"/>
    </row>
    <row r="315" spans="2:18" x14ac:dyDescent="0.3">
      <c r="B315" s="21"/>
      <c r="C315" s="35"/>
      <c r="D315" s="174"/>
      <c r="E315" s="177">
        <v>1.7899999999999999E-3</v>
      </c>
      <c r="F315" s="175"/>
      <c r="G315" s="174"/>
      <c r="H315" s="177"/>
      <c r="I315" s="174"/>
      <c r="J315" s="174"/>
      <c r="K315" s="177"/>
      <c r="L315" s="174"/>
      <c r="M315" s="10"/>
      <c r="N315" s="10"/>
      <c r="O315" s="23"/>
      <c r="P315" s="17"/>
      <c r="Q315" s="36"/>
      <c r="R315" s="13"/>
    </row>
    <row r="316" spans="2:18" x14ac:dyDescent="0.3">
      <c r="B316" s="8"/>
      <c r="C316" s="9" t="s">
        <v>41</v>
      </c>
      <c r="D316" s="173">
        <f>E316+F316</f>
        <v>812.36333000000002</v>
      </c>
      <c r="E316" s="173">
        <f>SUM(E310:E315)</f>
        <v>812.36210000000005</v>
      </c>
      <c r="F316" s="173">
        <f>SUM(F310:F315)</f>
        <v>1.23E-3</v>
      </c>
      <c r="G316" s="173">
        <f t="shared" si="86"/>
        <v>1221.0622499999999</v>
      </c>
      <c r="H316" s="173">
        <f>SUM(H310:H314)</f>
        <v>1221.0622499999999</v>
      </c>
      <c r="I316" s="173">
        <f>SUM(I310:I314)</f>
        <v>0</v>
      </c>
      <c r="J316" s="173">
        <f t="shared" si="87"/>
        <v>312.14387999999997</v>
      </c>
      <c r="K316" s="173">
        <f>SUM(K310:K314)</f>
        <v>312.14387999999997</v>
      </c>
      <c r="L316" s="173">
        <f>SUM(L310:L314)</f>
        <v>0</v>
      </c>
      <c r="M316" s="75">
        <f t="shared" si="78"/>
        <v>38.424171608041441</v>
      </c>
      <c r="N316" s="10"/>
      <c r="O316" s="8"/>
      <c r="P316" s="11"/>
      <c r="Q316" s="12"/>
      <c r="R316" s="13"/>
    </row>
    <row r="319" spans="2:18" x14ac:dyDescent="0.3"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</row>
    <row r="320" spans="2:18" x14ac:dyDescent="0.3"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</row>
  </sheetData>
  <mergeCells count="84">
    <mergeCell ref="D319:Q320"/>
    <mergeCell ref="O196:O198"/>
    <mergeCell ref="P196:P198"/>
    <mergeCell ref="Q196:Q198"/>
    <mergeCell ref="O199:O202"/>
    <mergeCell ref="P199:P202"/>
    <mergeCell ref="Q199:Q202"/>
    <mergeCell ref="O251:O252"/>
    <mergeCell ref="P251:P252"/>
    <mergeCell ref="Q251:Q252"/>
    <mergeCell ref="O243:O244"/>
    <mergeCell ref="P243:P244"/>
    <mergeCell ref="Q243:Q244"/>
    <mergeCell ref="M251:M252"/>
    <mergeCell ref="R150:R151"/>
    <mergeCell ref="R173:R174"/>
    <mergeCell ref="O173:O174"/>
    <mergeCell ref="P173:P174"/>
    <mergeCell ref="Q173:Q174"/>
    <mergeCell ref="R243:R244"/>
    <mergeCell ref="O178:O179"/>
    <mergeCell ref="P178:P179"/>
    <mergeCell ref="Q178:Q179"/>
    <mergeCell ref="O190:O191"/>
    <mergeCell ref="P192:P195"/>
    <mergeCell ref="O192:O195"/>
    <mergeCell ref="Q192:Q195"/>
    <mergeCell ref="P190:P191"/>
    <mergeCell ref="Q190:Q191"/>
    <mergeCell ref="O185:O188"/>
    <mergeCell ref="P185:P188"/>
    <mergeCell ref="Q185:Q188"/>
    <mergeCell ref="O180:O183"/>
    <mergeCell ref="P180:P183"/>
    <mergeCell ref="Q180:Q183"/>
    <mergeCell ref="M150:M151"/>
    <mergeCell ref="O150:O151"/>
    <mergeCell ref="P150:P151"/>
    <mergeCell ref="Q150:Q151"/>
    <mergeCell ref="M56:M57"/>
    <mergeCell ref="O56:O57"/>
    <mergeCell ref="P56:P57"/>
    <mergeCell ref="Q56:Q57"/>
    <mergeCell ref="M63:M64"/>
    <mergeCell ref="O63:O64"/>
    <mergeCell ref="P63:P64"/>
    <mergeCell ref="R63:R64"/>
    <mergeCell ref="M23:M24"/>
    <mergeCell ref="O23:O24"/>
    <mergeCell ref="P23:P24"/>
    <mergeCell ref="Q23:Q24"/>
    <mergeCell ref="R23:R24"/>
    <mergeCell ref="R25:R26"/>
    <mergeCell ref="R56:R57"/>
    <mergeCell ref="P25:P26"/>
    <mergeCell ref="Q25:Q26"/>
    <mergeCell ref="O28:O29"/>
    <mergeCell ref="P28:P29"/>
    <mergeCell ref="Q28:Q29"/>
    <mergeCell ref="O25:O26"/>
    <mergeCell ref="H1:M3"/>
    <mergeCell ref="C4:R4"/>
    <mergeCell ref="M18:M19"/>
    <mergeCell ref="O18:O19"/>
    <mergeCell ref="P18:P19"/>
    <mergeCell ref="Q18:Q19"/>
    <mergeCell ref="R18:R19"/>
    <mergeCell ref="C5:R5"/>
    <mergeCell ref="P20:P21"/>
    <mergeCell ref="O171:O172"/>
    <mergeCell ref="P171:P172"/>
    <mergeCell ref="Q171:Q172"/>
    <mergeCell ref="O162:O164"/>
    <mergeCell ref="P162:P164"/>
    <mergeCell ref="Q162:Q164"/>
    <mergeCell ref="O165:O170"/>
    <mergeCell ref="O77:O78"/>
    <mergeCell ref="P77:P78"/>
    <mergeCell ref="Q77:Q78"/>
    <mergeCell ref="P165:P170"/>
    <mergeCell ref="Q165:Q170"/>
    <mergeCell ref="Q20:Q21"/>
    <mergeCell ref="Q63:Q64"/>
    <mergeCell ref="O20:O21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Ustiashvili</dc:creator>
  <cp:lastModifiedBy>Marina Tediashvili</cp:lastModifiedBy>
  <cp:lastPrinted>2023-11-20T05:58:59Z</cp:lastPrinted>
  <dcterms:created xsi:type="dcterms:W3CDTF">2023-08-16T07:36:25Z</dcterms:created>
  <dcterms:modified xsi:type="dcterms:W3CDTF">2023-11-20T06:01:37Z</dcterms:modified>
</cp:coreProperties>
</file>