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ina.tediashvili\Desktop\"/>
    </mc:Choice>
  </mc:AlternateContent>
  <bookViews>
    <workbookView xWindow="-120" yWindow="-120" windowWidth="20730" windowHeight="1116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8" i="1" l="1"/>
  <c r="G199" i="1"/>
  <c r="G200" i="1"/>
  <c r="G201" i="1"/>
  <c r="G202" i="1"/>
  <c r="K244" i="1"/>
  <c r="E269" i="1" l="1"/>
  <c r="E190" i="1"/>
  <c r="E181" i="1" l="1"/>
  <c r="D180" i="1"/>
  <c r="E102" i="1"/>
  <c r="J189" i="1" l="1"/>
  <c r="G189" i="1"/>
  <c r="D189" i="1"/>
  <c r="J9" i="1"/>
  <c r="G9" i="1"/>
  <c r="D9" i="1"/>
  <c r="M9" i="1" l="1"/>
  <c r="M189" i="1"/>
  <c r="F99" i="1"/>
  <c r="D99" i="1" s="1"/>
  <c r="J100" i="1"/>
  <c r="G100" i="1"/>
  <c r="D100" i="1"/>
  <c r="J99" i="1"/>
  <c r="G99" i="1"/>
  <c r="J98" i="1"/>
  <c r="G98" i="1"/>
  <c r="D98" i="1"/>
  <c r="F84" i="1"/>
  <c r="J89" i="1"/>
  <c r="G89" i="1"/>
  <c r="D89" i="1"/>
  <c r="F102" i="1" l="1"/>
  <c r="M98" i="1"/>
  <c r="M100" i="1"/>
  <c r="M99" i="1"/>
  <c r="M89" i="1"/>
  <c r="J76" i="1"/>
  <c r="G76" i="1"/>
  <c r="D76" i="1"/>
  <c r="J75" i="1"/>
  <c r="G75" i="1"/>
  <c r="D75" i="1"/>
  <c r="G77" i="1"/>
  <c r="D77" i="1"/>
  <c r="J77" i="1"/>
  <c r="M77" i="1" l="1"/>
  <c r="M76" i="1"/>
  <c r="M75" i="1"/>
  <c r="F19" i="1" l="1"/>
  <c r="F25" i="1"/>
  <c r="J60" i="1" l="1"/>
  <c r="G60" i="1"/>
  <c r="D60" i="1"/>
  <c r="J59" i="1"/>
  <c r="G59" i="1"/>
  <c r="D59" i="1"/>
  <c r="J58" i="1"/>
  <c r="G58" i="1"/>
  <c r="D58" i="1"/>
  <c r="J57" i="1"/>
  <c r="G57" i="1"/>
  <c r="D57" i="1"/>
  <c r="M59" i="1" l="1"/>
  <c r="M58" i="1"/>
  <c r="M57" i="1"/>
  <c r="M60" i="1"/>
  <c r="F31" i="1"/>
  <c r="F28" i="1"/>
  <c r="I27" i="1"/>
  <c r="F27" i="1"/>
  <c r="M194" i="1" l="1"/>
  <c r="M195" i="1"/>
  <c r="M196" i="1"/>
  <c r="M222" i="1"/>
  <c r="F232" i="1"/>
  <c r="F253" i="1" s="1"/>
  <c r="E244" i="1"/>
  <c r="F217" i="1" l="1"/>
  <c r="E217" i="1"/>
  <c r="E209" i="1"/>
  <c r="F153" i="1" l="1"/>
  <c r="J167" i="1"/>
  <c r="J168" i="1"/>
  <c r="J169" i="1"/>
  <c r="G167" i="1"/>
  <c r="G168" i="1"/>
  <c r="G169" i="1"/>
  <c r="E115" i="1"/>
  <c r="H48" i="1"/>
  <c r="H47" i="1" l="1"/>
  <c r="E47" i="1"/>
  <c r="H44" i="1"/>
  <c r="H39" i="1"/>
  <c r="I39" i="1" s="1"/>
  <c r="E15" i="1"/>
  <c r="L308" i="1" l="1"/>
  <c r="I308" i="1"/>
  <c r="H308" i="1"/>
  <c r="F308" i="1"/>
  <c r="E308" i="1"/>
  <c r="K305" i="1"/>
  <c r="K308" i="1" s="1"/>
  <c r="F302" i="1"/>
  <c r="H302" i="1"/>
  <c r="I302" i="1"/>
  <c r="L302" i="1"/>
  <c r="E302" i="1"/>
  <c r="G299" i="1"/>
  <c r="J299" i="1"/>
  <c r="G301" i="1"/>
  <c r="J301" i="1"/>
  <c r="D299" i="1"/>
  <c r="D301" i="1"/>
  <c r="K298" i="1"/>
  <c r="K302" i="1" s="1"/>
  <c r="E295" i="1"/>
  <c r="G292" i="1"/>
  <c r="J292" i="1"/>
  <c r="G293" i="1"/>
  <c r="J293" i="1"/>
  <c r="D292" i="1"/>
  <c r="D293" i="1"/>
  <c r="D289" i="1"/>
  <c r="G289" i="1"/>
  <c r="J289" i="1"/>
  <c r="D290" i="1"/>
  <c r="G290" i="1"/>
  <c r="J290" i="1"/>
  <c r="D291" i="1"/>
  <c r="G291" i="1"/>
  <c r="J291" i="1"/>
  <c r="D294" i="1"/>
  <c r="G294" i="1"/>
  <c r="J294" i="1"/>
  <c r="L295" i="1"/>
  <c r="I295" i="1"/>
  <c r="H295" i="1"/>
  <c r="F295" i="1"/>
  <c r="K265" i="1"/>
  <c r="I265" i="1"/>
  <c r="H265" i="1"/>
  <c r="F265" i="1"/>
  <c r="E265" i="1"/>
  <c r="L262" i="1"/>
  <c r="L258" i="1"/>
  <c r="M292" i="1" l="1"/>
  <c r="M299" i="1"/>
  <c r="M290" i="1"/>
  <c r="M301" i="1"/>
  <c r="D302" i="1"/>
  <c r="M294" i="1"/>
  <c r="M289" i="1"/>
  <c r="M293" i="1"/>
  <c r="M291" i="1"/>
  <c r="I253" i="1"/>
  <c r="H253" i="1"/>
  <c r="D252" i="1"/>
  <c r="G252" i="1"/>
  <c r="J252" i="1"/>
  <c r="G249" i="1"/>
  <c r="J249" i="1"/>
  <c r="G250" i="1"/>
  <c r="J250" i="1"/>
  <c r="G251" i="1"/>
  <c r="J251" i="1"/>
  <c r="D249" i="1"/>
  <c r="D250" i="1"/>
  <c r="D251" i="1"/>
  <c r="E253" i="1"/>
  <c r="D226" i="1"/>
  <c r="K242" i="1"/>
  <c r="K227" i="1"/>
  <c r="K234" i="1"/>
  <c r="K230" i="1"/>
  <c r="D247" i="1"/>
  <c r="G247" i="1"/>
  <c r="J247" i="1"/>
  <c r="D248" i="1"/>
  <c r="G248" i="1"/>
  <c r="J248" i="1"/>
  <c r="G245" i="1"/>
  <c r="J245" i="1"/>
  <c r="D245" i="1"/>
  <c r="M250" i="1" l="1"/>
  <c r="M252" i="1"/>
  <c r="M245" i="1"/>
  <c r="M248" i="1"/>
  <c r="M247" i="1"/>
  <c r="M251" i="1"/>
  <c r="M249" i="1"/>
  <c r="L212" i="1"/>
  <c r="I212" i="1"/>
  <c r="H212" i="1"/>
  <c r="F212" i="1"/>
  <c r="E212" i="1"/>
  <c r="K209" i="1"/>
  <c r="K208" i="1"/>
  <c r="L203" i="1"/>
  <c r="K203" i="1"/>
  <c r="I203" i="1"/>
  <c r="H203" i="1"/>
  <c r="E203" i="1"/>
  <c r="F203" i="1"/>
  <c r="E192" i="1"/>
  <c r="L192" i="1"/>
  <c r="K192" i="1"/>
  <c r="I192" i="1"/>
  <c r="H192" i="1"/>
  <c r="F192" i="1"/>
  <c r="L186" i="1"/>
  <c r="K186" i="1"/>
  <c r="I186" i="1"/>
  <c r="H186" i="1"/>
  <c r="F186" i="1"/>
  <c r="E186" i="1"/>
  <c r="L181" i="1"/>
  <c r="I181" i="1"/>
  <c r="H181" i="1"/>
  <c r="F181" i="1"/>
  <c r="D177" i="1"/>
  <c r="K177" i="1"/>
  <c r="K181" i="1" s="1"/>
  <c r="K212" i="1" l="1"/>
  <c r="L171" i="1"/>
  <c r="I171" i="1"/>
  <c r="H171" i="1"/>
  <c r="F171" i="1"/>
  <c r="D167" i="1"/>
  <c r="M167" i="1" s="1"/>
  <c r="D168" i="1"/>
  <c r="M168" i="1" s="1"/>
  <c r="D169" i="1"/>
  <c r="M169" i="1" s="1"/>
  <c r="E171" i="1" l="1"/>
  <c r="L119" i="1"/>
  <c r="K119" i="1"/>
  <c r="I119" i="1"/>
  <c r="H119" i="1"/>
  <c r="F119" i="1"/>
  <c r="E119" i="1"/>
  <c r="L108" i="1"/>
  <c r="I108" i="1"/>
  <c r="H108" i="1"/>
  <c r="F108" i="1"/>
  <c r="E108" i="1"/>
  <c r="K106" i="1"/>
  <c r="K105" i="1"/>
  <c r="I102" i="1"/>
  <c r="H102" i="1"/>
  <c r="K108" i="1" l="1"/>
  <c r="K84" i="1"/>
  <c r="L84" i="1"/>
  <c r="L102" i="1" s="1"/>
  <c r="K71" i="1"/>
  <c r="L68" i="1"/>
  <c r="I68" i="1"/>
  <c r="H68" i="1"/>
  <c r="F68" i="1"/>
  <c r="E68" i="1"/>
  <c r="G56" i="1"/>
  <c r="J56" i="1"/>
  <c r="G52" i="1"/>
  <c r="J52" i="1"/>
  <c r="G53" i="1"/>
  <c r="J53" i="1"/>
  <c r="G54" i="1"/>
  <c r="J54" i="1"/>
  <c r="G55" i="1"/>
  <c r="J55" i="1"/>
  <c r="D52" i="1"/>
  <c r="D53" i="1"/>
  <c r="D54" i="1"/>
  <c r="D55" i="1"/>
  <c r="D56" i="1"/>
  <c r="J50" i="1"/>
  <c r="J51" i="1"/>
  <c r="G50" i="1"/>
  <c r="G51" i="1"/>
  <c r="D50" i="1"/>
  <c r="D51" i="1"/>
  <c r="M50" i="1" l="1"/>
  <c r="M54" i="1"/>
  <c r="M53" i="1"/>
  <c r="M56" i="1"/>
  <c r="M51" i="1"/>
  <c r="M55" i="1"/>
  <c r="M52" i="1"/>
  <c r="K48" i="1"/>
  <c r="E44" i="1"/>
  <c r="F30" i="1" l="1"/>
  <c r="E30" i="1"/>
  <c r="E29" i="1" s="1"/>
  <c r="E61" i="1" s="1"/>
  <c r="I61" i="1"/>
  <c r="K19" i="1"/>
  <c r="L19" i="1"/>
  <c r="K39" i="1"/>
  <c r="L39" i="1"/>
  <c r="K47" i="1"/>
  <c r="F61" i="1" l="1"/>
  <c r="D29" i="1"/>
  <c r="K44" i="1"/>
  <c r="J44" i="1" s="1"/>
  <c r="D48" i="1"/>
  <c r="G48" i="1"/>
  <c r="J48" i="1"/>
  <c r="J41" i="1"/>
  <c r="J42" i="1"/>
  <c r="J43" i="1"/>
  <c r="J45" i="1"/>
  <c r="J46" i="1"/>
  <c r="J47" i="1"/>
  <c r="G41" i="1"/>
  <c r="G42" i="1"/>
  <c r="G43" i="1"/>
  <c r="G44" i="1"/>
  <c r="G45" i="1"/>
  <c r="G46" i="1"/>
  <c r="G47" i="1"/>
  <c r="D41" i="1"/>
  <c r="D42" i="1"/>
  <c r="D43" i="1"/>
  <c r="D44" i="1"/>
  <c r="D45" i="1"/>
  <c r="D46" i="1"/>
  <c r="D47" i="1"/>
  <c r="D61" i="1" l="1"/>
  <c r="M43" i="1"/>
  <c r="M45" i="1"/>
  <c r="M48" i="1"/>
  <c r="M47" i="1"/>
  <c r="M42" i="1"/>
  <c r="M46" i="1"/>
  <c r="M41" i="1"/>
  <c r="M44" i="1"/>
  <c r="K22" i="1"/>
  <c r="L22" i="1"/>
  <c r="K27" i="1"/>
  <c r="L27" i="1"/>
  <c r="L16" i="1"/>
  <c r="K16" i="1"/>
  <c r="I16" i="1"/>
  <c r="H16" i="1"/>
  <c r="F16" i="1"/>
  <c r="E16" i="1"/>
  <c r="G15" i="1"/>
  <c r="J14" i="1"/>
  <c r="J15" i="1"/>
  <c r="G14" i="1"/>
  <c r="D14" i="1"/>
  <c r="D15" i="1"/>
  <c r="M15" i="1" l="1"/>
  <c r="M14" i="1"/>
  <c r="J298" i="1"/>
  <c r="G298" i="1"/>
  <c r="G302" i="1" s="1"/>
  <c r="D298" i="1"/>
  <c r="K284" i="1"/>
  <c r="L259" i="1"/>
  <c r="L265" i="1" s="1"/>
  <c r="M298" i="1" l="1"/>
  <c r="J302" i="1"/>
  <c r="K85" i="1"/>
  <c r="K92" i="1"/>
  <c r="L30" i="1"/>
  <c r="K30" i="1"/>
  <c r="G30" i="1"/>
  <c r="D30" i="1"/>
  <c r="M302" i="1" l="1"/>
  <c r="K102" i="1"/>
  <c r="J30" i="1"/>
  <c r="B30" i="1"/>
  <c r="L25" i="1"/>
  <c r="K34" i="1"/>
  <c r="J13" i="1"/>
  <c r="G13" i="1"/>
  <c r="D13" i="1"/>
  <c r="M13" i="1" l="1"/>
  <c r="J287" i="1"/>
  <c r="J288" i="1"/>
  <c r="G287" i="1"/>
  <c r="G288" i="1"/>
  <c r="D287" i="1"/>
  <c r="D288" i="1"/>
  <c r="K283" i="1"/>
  <c r="K295" i="1" s="1"/>
  <c r="L225" i="1"/>
  <c r="L253" i="1" s="1"/>
  <c r="K228" i="1"/>
  <c r="K253" i="1" s="1"/>
  <c r="K129" i="1"/>
  <c r="K158" i="1"/>
  <c r="M288" i="1" l="1"/>
  <c r="M287" i="1"/>
  <c r="K171" i="1"/>
  <c r="J82" i="1"/>
  <c r="G82" i="1"/>
  <c r="D82" i="1"/>
  <c r="M82" i="1" l="1"/>
  <c r="K66" i="1"/>
  <c r="K68" i="1" s="1"/>
  <c r="K25" i="1"/>
  <c r="J16" i="1" l="1"/>
  <c r="J19" i="1"/>
  <c r="J20" i="1"/>
  <c r="J21" i="1"/>
  <c r="J22" i="1"/>
  <c r="J23" i="1"/>
  <c r="J24" i="1"/>
  <c r="J25" i="1"/>
  <c r="J26" i="1"/>
  <c r="J27" i="1"/>
  <c r="J28" i="1"/>
  <c r="J31" i="1"/>
  <c r="J32" i="1"/>
  <c r="J33" i="1"/>
  <c r="J34" i="1"/>
  <c r="M34" i="1" s="1"/>
  <c r="J35" i="1"/>
  <c r="J36" i="1"/>
  <c r="J37" i="1"/>
  <c r="J38" i="1"/>
  <c r="J39" i="1"/>
  <c r="J40" i="1"/>
  <c r="J49" i="1"/>
  <c r="J65" i="1"/>
  <c r="J66" i="1"/>
  <c r="J67" i="1"/>
  <c r="J68" i="1"/>
  <c r="J71" i="1"/>
  <c r="J72" i="1"/>
  <c r="J73" i="1"/>
  <c r="J74" i="1"/>
  <c r="J78" i="1"/>
  <c r="J79" i="1"/>
  <c r="J80" i="1"/>
  <c r="J81" i="1"/>
  <c r="J83" i="1"/>
  <c r="J84" i="1"/>
  <c r="J85" i="1"/>
  <c r="J86" i="1"/>
  <c r="J87" i="1"/>
  <c r="J88" i="1"/>
  <c r="J90" i="1"/>
  <c r="J91" i="1"/>
  <c r="J92" i="1"/>
  <c r="J93" i="1"/>
  <c r="J94" i="1"/>
  <c r="J95" i="1"/>
  <c r="J96" i="1"/>
  <c r="J97" i="1"/>
  <c r="J102" i="1"/>
  <c r="J105" i="1"/>
  <c r="J106" i="1"/>
  <c r="J107" i="1"/>
  <c r="J108" i="1"/>
  <c r="J111" i="1"/>
  <c r="J112" i="1"/>
  <c r="J113" i="1"/>
  <c r="J114" i="1"/>
  <c r="J115" i="1"/>
  <c r="J116" i="1"/>
  <c r="J117" i="1"/>
  <c r="J118" i="1"/>
  <c r="J119"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70" i="1"/>
  <c r="J171" i="1"/>
  <c r="J175" i="1"/>
  <c r="J176" i="1"/>
  <c r="J177" i="1"/>
  <c r="J178" i="1"/>
  <c r="J179" i="1"/>
  <c r="J181" i="1"/>
  <c r="J184" i="1"/>
  <c r="J185" i="1"/>
  <c r="J186" i="1"/>
  <c r="J190" i="1"/>
  <c r="J191" i="1"/>
  <c r="J192" i="1"/>
  <c r="J198" i="1"/>
  <c r="J199" i="1"/>
  <c r="J200" i="1"/>
  <c r="J201" i="1"/>
  <c r="J202" i="1"/>
  <c r="J203" i="1"/>
  <c r="J206" i="1"/>
  <c r="J207" i="1"/>
  <c r="J208" i="1"/>
  <c r="J209" i="1"/>
  <c r="J210" i="1"/>
  <c r="J212" i="1"/>
  <c r="J215" i="1"/>
  <c r="J216" i="1"/>
  <c r="J217" i="1"/>
  <c r="J220" i="1"/>
  <c r="J221" i="1"/>
  <c r="J224" i="1"/>
  <c r="J225" i="1"/>
  <c r="J226" i="1"/>
  <c r="J227" i="1"/>
  <c r="J228" i="1"/>
  <c r="J229" i="1"/>
  <c r="J230" i="1"/>
  <c r="J231" i="1"/>
  <c r="J232" i="1"/>
  <c r="J233" i="1"/>
  <c r="J234" i="1"/>
  <c r="J235" i="1"/>
  <c r="J236" i="1"/>
  <c r="J237" i="1"/>
  <c r="J238" i="1"/>
  <c r="J240" i="1"/>
  <c r="J241" i="1"/>
  <c r="J242" i="1"/>
  <c r="J243" i="1"/>
  <c r="J244" i="1"/>
  <c r="J246" i="1"/>
  <c r="J253" i="1"/>
  <c r="J257" i="1"/>
  <c r="J258" i="1"/>
  <c r="J259" i="1"/>
  <c r="J260" i="1"/>
  <c r="J261" i="1"/>
  <c r="J262" i="1"/>
  <c r="J263" i="1"/>
  <c r="J264" i="1"/>
  <c r="J265" i="1"/>
  <c r="J268" i="1"/>
  <c r="J269" i="1"/>
  <c r="J270" i="1"/>
  <c r="J271" i="1"/>
  <c r="J272" i="1"/>
  <c r="J273" i="1"/>
  <c r="J274" i="1"/>
  <c r="J275" i="1"/>
  <c r="J276" i="1"/>
  <c r="J277" i="1"/>
  <c r="J278" i="1"/>
  <c r="J279" i="1"/>
  <c r="J280" i="1"/>
  <c r="J281" i="1"/>
  <c r="J282" i="1"/>
  <c r="J283" i="1"/>
  <c r="J284" i="1"/>
  <c r="J285" i="1"/>
  <c r="J286" i="1"/>
  <c r="J295" i="1"/>
  <c r="J305" i="1"/>
  <c r="J306" i="1"/>
  <c r="J307" i="1"/>
  <c r="J308" i="1"/>
  <c r="J12" i="1"/>
  <c r="G16" i="1"/>
  <c r="G19" i="1"/>
  <c r="G20" i="1"/>
  <c r="G21" i="1"/>
  <c r="G22" i="1"/>
  <c r="G23" i="1"/>
  <c r="G24" i="1"/>
  <c r="G25" i="1"/>
  <c r="G26" i="1"/>
  <c r="G27" i="1"/>
  <c r="G28" i="1"/>
  <c r="G31" i="1"/>
  <c r="G32" i="1"/>
  <c r="G33" i="1"/>
  <c r="G34" i="1"/>
  <c r="G35" i="1"/>
  <c r="G36" i="1"/>
  <c r="G37" i="1"/>
  <c r="G38" i="1"/>
  <c r="G39" i="1"/>
  <c r="G40" i="1"/>
  <c r="G49" i="1"/>
  <c r="G65" i="1"/>
  <c r="G66" i="1"/>
  <c r="G67" i="1"/>
  <c r="G68" i="1"/>
  <c r="G71" i="1"/>
  <c r="G72" i="1"/>
  <c r="G73" i="1"/>
  <c r="G74" i="1"/>
  <c r="G78" i="1"/>
  <c r="G79" i="1"/>
  <c r="G80" i="1"/>
  <c r="G81" i="1"/>
  <c r="G83" i="1"/>
  <c r="G84" i="1"/>
  <c r="G85" i="1"/>
  <c r="G86" i="1"/>
  <c r="G87" i="1"/>
  <c r="G88" i="1"/>
  <c r="G90" i="1"/>
  <c r="G91" i="1"/>
  <c r="G92" i="1"/>
  <c r="G93" i="1"/>
  <c r="G94" i="1"/>
  <c r="G95" i="1"/>
  <c r="G96" i="1"/>
  <c r="G97" i="1"/>
  <c r="G102" i="1"/>
  <c r="G105" i="1"/>
  <c r="G106" i="1"/>
  <c r="G107" i="1"/>
  <c r="G108" i="1"/>
  <c r="G111" i="1"/>
  <c r="G112" i="1"/>
  <c r="G113" i="1"/>
  <c r="G114" i="1"/>
  <c r="G115" i="1"/>
  <c r="G116" i="1"/>
  <c r="G117" i="1"/>
  <c r="G118" i="1"/>
  <c r="G119"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70" i="1"/>
  <c r="G171" i="1"/>
  <c r="G175" i="1"/>
  <c r="G176" i="1"/>
  <c r="G177" i="1"/>
  <c r="G178" i="1"/>
  <c r="G179" i="1"/>
  <c r="G181" i="1"/>
  <c r="G184" i="1"/>
  <c r="G185" i="1"/>
  <c r="G186" i="1"/>
  <c r="G190" i="1"/>
  <c r="G191" i="1"/>
  <c r="G192" i="1"/>
  <c r="G203" i="1"/>
  <c r="G206" i="1"/>
  <c r="G207" i="1"/>
  <c r="G208" i="1"/>
  <c r="G209" i="1"/>
  <c r="G210" i="1"/>
  <c r="G212" i="1"/>
  <c r="G215" i="1"/>
  <c r="G216" i="1"/>
  <c r="G217" i="1"/>
  <c r="G220" i="1"/>
  <c r="G221" i="1"/>
  <c r="G224" i="1"/>
  <c r="G225" i="1"/>
  <c r="G226" i="1"/>
  <c r="G227" i="1"/>
  <c r="G228" i="1"/>
  <c r="G229" i="1"/>
  <c r="G230" i="1"/>
  <c r="G231" i="1"/>
  <c r="G232" i="1"/>
  <c r="G233" i="1"/>
  <c r="G234" i="1"/>
  <c r="G235" i="1"/>
  <c r="G236" i="1"/>
  <c r="G237" i="1"/>
  <c r="G238" i="1"/>
  <c r="G240" i="1"/>
  <c r="G241" i="1"/>
  <c r="G242" i="1"/>
  <c r="G243" i="1"/>
  <c r="G244" i="1"/>
  <c r="G246" i="1"/>
  <c r="G253" i="1"/>
  <c r="G257" i="1"/>
  <c r="G258" i="1"/>
  <c r="G259" i="1"/>
  <c r="G260" i="1"/>
  <c r="G261" i="1"/>
  <c r="G262" i="1"/>
  <c r="G263" i="1"/>
  <c r="G264" i="1"/>
  <c r="G265" i="1"/>
  <c r="G268" i="1"/>
  <c r="G269" i="1"/>
  <c r="G270" i="1"/>
  <c r="G271" i="1"/>
  <c r="G272" i="1"/>
  <c r="G273" i="1"/>
  <c r="G274" i="1"/>
  <c r="G275" i="1"/>
  <c r="G276" i="1"/>
  <c r="G277" i="1"/>
  <c r="G278" i="1"/>
  <c r="G279" i="1"/>
  <c r="G280" i="1"/>
  <c r="G281" i="1"/>
  <c r="G282" i="1"/>
  <c r="G283" i="1"/>
  <c r="G284" i="1"/>
  <c r="G285" i="1"/>
  <c r="G286" i="1"/>
  <c r="G295" i="1"/>
  <c r="G305" i="1"/>
  <c r="G306" i="1"/>
  <c r="G307" i="1"/>
  <c r="G308" i="1"/>
  <c r="G12" i="1"/>
  <c r="D16" i="1"/>
  <c r="D19" i="1"/>
  <c r="D20" i="1"/>
  <c r="D21" i="1"/>
  <c r="D22" i="1"/>
  <c r="D23" i="1"/>
  <c r="D24" i="1"/>
  <c r="D25" i="1"/>
  <c r="D26" i="1"/>
  <c r="D27" i="1"/>
  <c r="D28" i="1"/>
  <c r="D31" i="1"/>
  <c r="D32" i="1"/>
  <c r="D33" i="1"/>
  <c r="D34" i="1"/>
  <c r="D35" i="1"/>
  <c r="D36" i="1"/>
  <c r="D37" i="1"/>
  <c r="D38" i="1"/>
  <c r="D39" i="1"/>
  <c r="D40" i="1"/>
  <c r="D49" i="1"/>
  <c r="D65" i="1"/>
  <c r="D66" i="1"/>
  <c r="D67" i="1"/>
  <c r="D68" i="1"/>
  <c r="D71" i="1"/>
  <c r="D72" i="1"/>
  <c r="D73" i="1"/>
  <c r="D74" i="1"/>
  <c r="D78" i="1"/>
  <c r="D79" i="1"/>
  <c r="D80" i="1"/>
  <c r="D81" i="1"/>
  <c r="D83" i="1"/>
  <c r="D84" i="1"/>
  <c r="D85" i="1"/>
  <c r="D86" i="1"/>
  <c r="D87" i="1"/>
  <c r="D88" i="1"/>
  <c r="D90" i="1"/>
  <c r="D91" i="1"/>
  <c r="D92" i="1"/>
  <c r="D93" i="1"/>
  <c r="D94" i="1"/>
  <c r="D95" i="1"/>
  <c r="D96" i="1"/>
  <c r="D97" i="1"/>
  <c r="D102" i="1"/>
  <c r="D105" i="1"/>
  <c r="D106" i="1"/>
  <c r="D107" i="1"/>
  <c r="D108" i="1"/>
  <c r="D111" i="1"/>
  <c r="D112" i="1"/>
  <c r="D113" i="1"/>
  <c r="D114" i="1"/>
  <c r="D115" i="1"/>
  <c r="D116" i="1"/>
  <c r="D117" i="1"/>
  <c r="D118" i="1"/>
  <c r="D119"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70" i="1"/>
  <c r="D171" i="1"/>
  <c r="D175" i="1"/>
  <c r="D176" i="1"/>
  <c r="D178" i="1"/>
  <c r="D179" i="1"/>
  <c r="D181" i="1"/>
  <c r="D184" i="1"/>
  <c r="D185" i="1"/>
  <c r="D186" i="1"/>
  <c r="D190" i="1"/>
  <c r="D191" i="1"/>
  <c r="D192" i="1"/>
  <c r="D206" i="1"/>
  <c r="D207" i="1"/>
  <c r="D208" i="1"/>
  <c r="D209" i="1"/>
  <c r="D210" i="1"/>
  <c r="D212" i="1"/>
  <c r="D215" i="1"/>
  <c r="D216" i="1"/>
  <c r="D217" i="1"/>
  <c r="D220" i="1"/>
  <c r="D221" i="1"/>
  <c r="D224" i="1"/>
  <c r="D225" i="1"/>
  <c r="D227" i="1"/>
  <c r="D228" i="1"/>
  <c r="D229" i="1"/>
  <c r="D230" i="1"/>
  <c r="D231" i="1"/>
  <c r="D232" i="1"/>
  <c r="D233" i="1"/>
  <c r="D234" i="1"/>
  <c r="D235" i="1"/>
  <c r="D236" i="1"/>
  <c r="D237" i="1"/>
  <c r="D238" i="1"/>
  <c r="D240" i="1"/>
  <c r="D241" i="1"/>
  <c r="D242" i="1"/>
  <c r="D243" i="1"/>
  <c r="D244" i="1"/>
  <c r="D246" i="1"/>
  <c r="D253" i="1"/>
  <c r="D257" i="1"/>
  <c r="D258" i="1"/>
  <c r="D259" i="1"/>
  <c r="D260" i="1"/>
  <c r="D261" i="1"/>
  <c r="D262" i="1"/>
  <c r="D263" i="1"/>
  <c r="D264" i="1"/>
  <c r="D265" i="1"/>
  <c r="D268" i="1"/>
  <c r="D269" i="1"/>
  <c r="D270" i="1"/>
  <c r="D271" i="1"/>
  <c r="D272" i="1"/>
  <c r="D273" i="1"/>
  <c r="D274" i="1"/>
  <c r="D275" i="1"/>
  <c r="D276" i="1"/>
  <c r="D277" i="1"/>
  <c r="D278" i="1"/>
  <c r="D279" i="1"/>
  <c r="D280" i="1"/>
  <c r="D281" i="1"/>
  <c r="D282" i="1"/>
  <c r="D283" i="1"/>
  <c r="D284" i="1"/>
  <c r="D285" i="1"/>
  <c r="D286" i="1"/>
  <c r="D295" i="1"/>
  <c r="D305" i="1"/>
  <c r="D306" i="1"/>
  <c r="D307" i="1"/>
  <c r="D308" i="1"/>
  <c r="D12" i="1"/>
  <c r="M190" i="1" l="1"/>
  <c r="M268" i="1"/>
  <c r="M35" i="1"/>
  <c r="M308" i="1"/>
  <c r="M281" i="1"/>
  <c r="M253" i="1"/>
  <c r="M233" i="1"/>
  <c r="M225" i="1"/>
  <c r="M178" i="1"/>
  <c r="M164" i="1"/>
  <c r="M156" i="1"/>
  <c r="M148" i="1"/>
  <c r="M140" i="1"/>
  <c r="M132" i="1"/>
  <c r="M124" i="1"/>
  <c r="M115" i="1"/>
  <c r="M92" i="1"/>
  <c r="M86" i="1"/>
  <c r="M37" i="1"/>
  <c r="M33" i="1"/>
  <c r="M25" i="1"/>
  <c r="M307" i="1"/>
  <c r="M284" i="1"/>
  <c r="M280" i="1"/>
  <c r="M276" i="1"/>
  <c r="M272" i="1"/>
  <c r="M263" i="1"/>
  <c r="M259" i="1"/>
  <c r="M246" i="1"/>
  <c r="M241" i="1"/>
  <c r="M236" i="1"/>
  <c r="M232" i="1"/>
  <c r="M228" i="1"/>
  <c r="M224" i="1"/>
  <c r="M208" i="1"/>
  <c r="M185" i="1"/>
  <c r="M181" i="1"/>
  <c r="M177" i="1"/>
  <c r="M170" i="1"/>
  <c r="M163" i="1"/>
  <c r="M159" i="1"/>
  <c r="M155" i="1"/>
  <c r="M151" i="1"/>
  <c r="M147" i="1"/>
  <c r="M143" i="1"/>
  <c r="M139" i="1"/>
  <c r="M135" i="1"/>
  <c r="M131" i="1"/>
  <c r="M127" i="1"/>
  <c r="M123" i="1"/>
  <c r="M118" i="1"/>
  <c r="M114" i="1"/>
  <c r="M108" i="1"/>
  <c r="M105" i="1"/>
  <c r="M94" i="1"/>
  <c r="M85" i="1"/>
  <c r="M81" i="1"/>
  <c r="M78" i="1"/>
  <c r="M72" i="1"/>
  <c r="M67" i="1"/>
  <c r="M40" i="1"/>
  <c r="M28" i="1"/>
  <c r="M24" i="1"/>
  <c r="M20" i="1"/>
  <c r="M285" i="1"/>
  <c r="M273" i="1"/>
  <c r="M242" i="1"/>
  <c r="M209" i="1"/>
  <c r="M31" i="1"/>
  <c r="M306" i="1"/>
  <c r="M295" i="1"/>
  <c r="M283" i="1"/>
  <c r="M279" i="1"/>
  <c r="M275" i="1"/>
  <c r="M271" i="1"/>
  <c r="M265" i="1"/>
  <c r="M262" i="1"/>
  <c r="M258" i="1"/>
  <c r="M244" i="1"/>
  <c r="M240" i="1"/>
  <c r="M235" i="1"/>
  <c r="M231" i="1"/>
  <c r="M227" i="1"/>
  <c r="M221" i="1"/>
  <c r="M216" i="1"/>
  <c r="M212" i="1"/>
  <c r="M207" i="1"/>
  <c r="M192" i="1"/>
  <c r="M184" i="1"/>
  <c r="M176" i="1"/>
  <c r="M166" i="1"/>
  <c r="M162" i="1"/>
  <c r="M158" i="1"/>
  <c r="M154" i="1"/>
  <c r="M150" i="1"/>
  <c r="M146" i="1"/>
  <c r="M142" i="1"/>
  <c r="M138" i="1"/>
  <c r="M134" i="1"/>
  <c r="M130" i="1"/>
  <c r="M126" i="1"/>
  <c r="M122" i="1"/>
  <c r="M117" i="1"/>
  <c r="M113" i="1"/>
  <c r="M102" i="1"/>
  <c r="M96" i="1"/>
  <c r="M93" i="1"/>
  <c r="M90" i="1"/>
  <c r="M88" i="1"/>
  <c r="M80" i="1"/>
  <c r="M71" i="1"/>
  <c r="M66" i="1"/>
  <c r="M39" i="1"/>
  <c r="M27" i="1"/>
  <c r="M23" i="1"/>
  <c r="M19" i="1"/>
  <c r="M277" i="1"/>
  <c r="M264" i="1"/>
  <c r="M260" i="1"/>
  <c r="M237" i="1"/>
  <c r="M229" i="1"/>
  <c r="M217" i="1"/>
  <c r="M171" i="1"/>
  <c r="M160" i="1"/>
  <c r="M152" i="1"/>
  <c r="M144" i="1"/>
  <c r="M136" i="1"/>
  <c r="M128" i="1"/>
  <c r="M111" i="1"/>
  <c r="M106" i="1"/>
  <c r="M95" i="1"/>
  <c r="M83" i="1"/>
  <c r="M73" i="1"/>
  <c r="M49" i="1"/>
  <c r="M21" i="1"/>
  <c r="M305" i="1"/>
  <c r="M286" i="1"/>
  <c r="M282" i="1"/>
  <c r="M278" i="1"/>
  <c r="M274" i="1"/>
  <c r="M270" i="1"/>
  <c r="M261" i="1"/>
  <c r="M257" i="1"/>
  <c r="M243" i="1"/>
  <c r="M238" i="1"/>
  <c r="M234" i="1"/>
  <c r="M230" i="1"/>
  <c r="M226" i="1"/>
  <c r="M220" i="1"/>
  <c r="M215" i="1"/>
  <c r="M210" i="1"/>
  <c r="M206" i="1"/>
  <c r="M186" i="1"/>
  <c r="M179" i="1"/>
  <c r="M175" i="1"/>
  <c r="M165" i="1"/>
  <c r="M161" i="1"/>
  <c r="M157" i="1"/>
  <c r="M153" i="1"/>
  <c r="M145" i="1"/>
  <c r="M141" i="1"/>
  <c r="M137" i="1"/>
  <c r="M133" i="1"/>
  <c r="M129" i="1"/>
  <c r="M125" i="1"/>
  <c r="M119" i="1"/>
  <c r="M116" i="1"/>
  <c r="M112" i="1"/>
  <c r="M107" i="1"/>
  <c r="M97" i="1"/>
  <c r="M87" i="1"/>
  <c r="M84" i="1"/>
  <c r="M79" i="1"/>
  <c r="M74" i="1"/>
  <c r="M68" i="1"/>
  <c r="M65" i="1"/>
  <c r="M38" i="1"/>
  <c r="M32" i="1"/>
  <c r="M26" i="1"/>
  <c r="M22" i="1"/>
  <c r="M16" i="1"/>
  <c r="M12" i="1"/>
  <c r="K29" i="1"/>
  <c r="K61" i="1" s="1"/>
  <c r="L29" i="1"/>
  <c r="L61" i="1" s="1"/>
  <c r="J61" i="1" l="1"/>
  <c r="J29" i="1"/>
  <c r="M29" i="1" s="1"/>
  <c r="G29" i="1"/>
  <c r="H61" i="1"/>
  <c r="G61" i="1" s="1"/>
  <c r="M61" i="1" l="1"/>
  <c r="D203" i="1"/>
  <c r="M203" i="1" s="1"/>
  <c r="D200" i="1"/>
  <c r="M200" i="1" s="1"/>
  <c r="D202" i="1"/>
  <c r="M202" i="1" s="1"/>
  <c r="D199" i="1"/>
  <c r="M199" i="1" s="1"/>
  <c r="D198" i="1"/>
  <c r="M198" i="1" s="1"/>
  <c r="D201" i="1"/>
  <c r="M201" i="1" s="1"/>
</calcChain>
</file>

<file path=xl/sharedStrings.xml><?xml version="1.0" encoding="utf-8"?>
<sst xmlns="http://schemas.openxmlformats.org/spreadsheetml/2006/main" count="803" uniqueCount="657">
  <si>
    <t>შესრულებული სამუშაოები</t>
  </si>
  <si>
    <t>ადგ.დაფინანსებით</t>
  </si>
  <si>
    <t>სახ.დაფინანსებით</t>
  </si>
  <si>
    <t>ხელშკრულებით</t>
  </si>
  <si>
    <t>ადგ.დაფინანს.</t>
  </si>
  <si>
    <t xml:space="preserve"> სახ.დაფინანს.</t>
  </si>
  <si>
    <t>სულ ფაქტი</t>
  </si>
  <si>
    <t>ფაქტი ადგ.დაფინანს.</t>
  </si>
  <si>
    <t>ფაქტი სახ.დაფინანს.</t>
  </si>
  <si>
    <t>სამუშაოთა შესრულების ვადები</t>
  </si>
  <si>
    <t xml:space="preserve">ხელშეკრულების ნომერი </t>
  </si>
  <si>
    <t>მომწოდებელი</t>
  </si>
  <si>
    <t>შენიშვნა</t>
  </si>
  <si>
    <t>02 01 01 01</t>
  </si>
  <si>
    <t>გზების მიდინარე შეკეთება</t>
  </si>
  <si>
    <t>ქ. საგარეჯოს და მუნიციპალიტეტის სოფლების დაზიანებული ასფალტბეტონის გზის ორმოული შეკეთების სამუშაოები</t>
  </si>
  <si>
    <t>05,05,2021-03,08,2021</t>
  </si>
  <si>
    <t>48/1</t>
  </si>
  <si>
    <t>შპს ჯე-ბილინგ გრუპი</t>
  </si>
  <si>
    <t>სულ</t>
  </si>
  <si>
    <t>02 01 02</t>
  </si>
  <si>
    <t>ახალი გზების მშენებლობა</t>
  </si>
  <si>
    <t>სოფელ ქვემო და ზემო ყანდაურის დამაკავშირებელი გზის მოასფალტება მთავრ. განკ N75 17.01.2022</t>
  </si>
  <si>
    <t>30,09,2021-20,05,2022</t>
  </si>
  <si>
    <t>117/2</t>
  </si>
  <si>
    <t>შპს იბერი</t>
  </si>
  <si>
    <t>394.684 გადახ.2021 წ.-100.0 ადგ.,294.684 სახ.; 2022წ.ვალდ.1578.73749,ადგ-78.83687,1499.90062 სახ</t>
  </si>
  <si>
    <t>ქ.საგარეჯოში იმედის ქუჩაზე N15 და N17 საცხოვრებელი კორპუსების ეზოების მოასფალტების სამუშაოები</t>
  </si>
  <si>
    <t>29,09,2021-17,11,2021</t>
  </si>
  <si>
    <t>116/1</t>
  </si>
  <si>
    <t>შპს ენ-დი-როუდი</t>
  </si>
  <si>
    <t>145.18503 გადახდ.2021წ.ადგ.2022წ.ვალდ.7.43496</t>
  </si>
  <si>
    <t>სოფელ გიორგიწმინდაში სასაფლაოს გზის ცემენტ-ბეტონით მოწყობის სამუშაოები</t>
  </si>
  <si>
    <t>22,09,2021-03,11,2021</t>
  </si>
  <si>
    <t>113/1</t>
  </si>
  <si>
    <t>შპს აგა</t>
  </si>
  <si>
    <t>59.97740 გადახდ.2021წ.2022წ.ვალდ.3.15670</t>
  </si>
  <si>
    <t>ქ. საგარეჯოში იმედის ქუჩაზე N19,N21, N23 და N25 კორპუსის ეზოების მოასფალტების სამუშაოები მთა. განკ N75 17.01.2022</t>
  </si>
  <si>
    <t>8/2</t>
  </si>
  <si>
    <t>სოფელ უდაბნოში ჩიჩხიტურის კოშკთან მისასვლელი გზის მოასფალტება მთავრ განკ N2685 31.12.2020</t>
  </si>
  <si>
    <t>04,08,2021-05,10,2021</t>
  </si>
  <si>
    <t>შპს დინ გრუპი</t>
  </si>
  <si>
    <t>356.84328გადახდ.2021წ.-170.28590ადგ,186.55738 საზ.2022წ.ვალდ 68.87151 სახ</t>
  </si>
  <si>
    <t>საავტომობილო  გზების სარეაბილიტაციო  სამუშაოების  საპროექტო სახარჯთაღრიცხვო დოკუმენტაციის შედგენის მომსახურება</t>
  </si>
  <si>
    <t>10,01,-31.12.2022</t>
  </si>
  <si>
    <t>შპს თბილგზაპროექტი</t>
  </si>
  <si>
    <t>სოფელ კაკაბეთში ე.წ. "ღვინაანთ" უბნის გზის მოასფალტება მთავრ.  განკ N75 17.01.2022-166.30273;  #2685 31.12.2020-29.55629</t>
  </si>
  <si>
    <t>29.09.2021-17.11.2021 (პირვ. ეტაპი)-1.04.2022 (მეორე ეტაპი)</t>
  </si>
  <si>
    <t>116/2</t>
  </si>
  <si>
    <t>სს ,,კავკასავტომაგისტრალი"</t>
  </si>
  <si>
    <t>2021 წ.გადახდ.73.07571,ადგ.2.632, სახ70.44371, 2022წ ვალდ.სახ-195.85902, ადგ.14,121,სულ209.97902</t>
  </si>
  <si>
    <t>სოფელ კაკაბეთში ღვთისმშობლის ეკლესიასთან მისასვლელი  გზის მოასფალტება მთავრ.  N75 17.01.2022-101.99233; #2685 31.12.2020-0.50 თ.</t>
  </si>
  <si>
    <t>2021წ.გადახდ.102.63150, ადგ2.632,სახ.99.99950, 2022წ.ვალდ.ადგ5264,სახ101.99283,სულ107.25683</t>
  </si>
  <si>
    <t>26.10.2021-11.03.2022</t>
  </si>
  <si>
    <t>კავკასავტომაგისტრალი</t>
  </si>
  <si>
    <t>18.02.2021-18.02.2022</t>
  </si>
  <si>
    <t>86/1</t>
  </si>
  <si>
    <t>2021წ.გადახდ233.72525, ადგ28.37425, სახ205.351, 2022წ.ვალდ.289.87475,ადგ14.49374, სახ.275.38101</t>
  </si>
  <si>
    <t>2.08.2021-1.11.2021</t>
  </si>
  <si>
    <t>23,07,2021-18.02.2022</t>
  </si>
  <si>
    <t>86/3</t>
  </si>
  <si>
    <t>2021წ.გადახდ.232.12663,ადგ.25.45072, სახ.206.97591, 2022წ.ვალდ.241.57337, ადგ13.24928,სახ228.32409</t>
  </si>
  <si>
    <t>ინფრასტრუქტურული ობიექტების სამშენებლო სამუშაოებზე საზედამხედველო მომსახურების გაწევა</t>
  </si>
  <si>
    <r>
      <t>შპს</t>
    </r>
    <r>
      <rPr>
        <sz val="8"/>
        <rFont val="Calibri"/>
        <family val="2"/>
        <charset val="204"/>
      </rPr>
      <t xml:space="preserve"> ,,</t>
    </r>
    <r>
      <rPr>
        <sz val="8"/>
        <rFont val="Sylfaen"/>
        <family val="1"/>
        <charset val="204"/>
      </rPr>
      <t>საინჟინრო</t>
    </r>
    <r>
      <rPr>
        <sz val="8"/>
        <rFont val="Calibri"/>
        <family val="2"/>
        <charset val="204"/>
      </rPr>
      <t xml:space="preserve"> </t>
    </r>
    <r>
      <rPr>
        <sz val="8"/>
        <rFont val="Sylfaen"/>
        <family val="1"/>
        <charset val="204"/>
      </rPr>
      <t>მონიტორინგის</t>
    </r>
    <r>
      <rPr>
        <sz val="8"/>
        <rFont val="Calibri"/>
        <family val="2"/>
        <charset val="204"/>
      </rPr>
      <t xml:space="preserve"> </t>
    </r>
    <r>
      <rPr>
        <sz val="8"/>
        <rFont val="Sylfaen"/>
        <family val="1"/>
        <charset val="204"/>
      </rPr>
      <t>ჯგუფი</t>
    </r>
    <r>
      <rPr>
        <sz val="8"/>
        <rFont val="Calibri"/>
        <family val="2"/>
        <charset val="204"/>
      </rPr>
      <t>’’</t>
    </r>
  </si>
  <si>
    <t>განკ#2685 31.12.2020</t>
  </si>
  <si>
    <t>განკ#1573 19.08.2020</t>
  </si>
  <si>
    <t>განკ#2630 18.12.2019</t>
  </si>
  <si>
    <t>თავისუფალი რესურსი</t>
  </si>
  <si>
    <t>02 01 03</t>
  </si>
  <si>
    <t>საგზაო ნიშნები და უსაფრთხოება</t>
  </si>
  <si>
    <t>საგარეჯოს მუნიც.კახეთის გზატკეცილზე მდ.რკინის კონსტრუქციაზე განსათავსებლად საინფორმაციო ბანერის "ატარე პირბადე" შესყიდვა</t>
  </si>
  <si>
    <t>08,02,-15.02.2022</t>
  </si>
  <si>
    <t>შპს კოპიპრინტ-2000</t>
  </si>
  <si>
    <t>28.08.2021-31.03.2023</t>
  </si>
  <si>
    <t>101/1</t>
  </si>
  <si>
    <t>შპს დელტა კონსალტინგი</t>
  </si>
  <si>
    <t>02 02 01</t>
  </si>
  <si>
    <t>სასმელი წყლის სისტემის რეაბილიტაცია</t>
  </si>
  <si>
    <t>ს.მ.</t>
  </si>
  <si>
    <t>სასმელი წყლის ჭაბურღილებზე დახარჯული ელენერგიის ხარჯი აბN9701762761,9310013550</t>
  </si>
  <si>
    <t>წერილი N 26-10012022-88252</t>
  </si>
  <si>
    <t>სს ეპ-ჯორჯია</t>
  </si>
  <si>
    <t>ქ.საგარეჯოში კახეთის გზ. N110-ს ეზოში არსებული ორი საკანალიზაციო ჭის გაწმენდის მომსახურება</t>
  </si>
  <si>
    <t>01.01-01,02,2022</t>
  </si>
  <si>
    <t>12/2</t>
  </si>
  <si>
    <t>ი.მ. გიორგი ვარაზიშვილი</t>
  </si>
  <si>
    <t>ქ. საგარეჯოს კახეთის გზტკ. N10 კორპ. საკანალიზაციო სისტემის გაწმენდის მომსახურების ხარჯი</t>
  </si>
  <si>
    <t>17,02,-19.02.2022</t>
  </si>
  <si>
    <t>22/1</t>
  </si>
  <si>
    <t>სასმელი წყლის მილებისა და ავზებისათვის თბოსაიზოლაციო მასალების შესყიდვის ხარჯი</t>
  </si>
  <si>
    <t>4/1</t>
  </si>
  <si>
    <t>შპს გეგა 2018</t>
  </si>
  <si>
    <t>სოფ. კაზლარის წყალმომარაგების სისტემის სრულფასოვანი ფუნქციონირებისათვის ახალი ელ. აღრიცხვის კვანძის მოწყობის ხარჯი</t>
  </si>
  <si>
    <t>წერილი N 1179-01022022-87465</t>
  </si>
  <si>
    <t>სს ენერგო-პრო-ჯორჯია</t>
  </si>
  <si>
    <t>სოფ. პატარძეული სკოლამდელი აღზრდის დაწესებულებასთან არსებული ჭაბურღილზე ახალი სამფაზიანი 380ვ/სიმძლავრის აღრიცხვის კვანძის მოწყობის საფასური</t>
  </si>
  <si>
    <t>წერილი N 1301-02022022-77601</t>
  </si>
  <si>
    <t>საკანალიზაციო და წყლის მომარაგების სისტემის რეკონსტრუქცია/კაპიტალური რემონტი</t>
  </si>
  <si>
    <t>28,09,2021-30,11,2021</t>
  </si>
  <si>
    <t>შპს ბურღი</t>
  </si>
  <si>
    <t>სოფ. შიბლიანში ლითონის რეზერვუარის  და წყალმომარაგების ქსელის რეაბილიტაციის საპროექტო-სახარჯთაღრიცხვო დოკუმენტაციის შედგენის ხარჯი</t>
  </si>
  <si>
    <t>12,01,2021-31,12,2021</t>
  </si>
  <si>
    <t>2</t>
  </si>
  <si>
    <t>შპს ელკო</t>
  </si>
  <si>
    <t xml:space="preserve">ქ. საგარეჯოში დავით აღმაშენებლის ქუჩა №15 -ში ადმინისტრაციული შენობის ეზოში დაზიანებული საკანალიზაციო სისტემის  რეაბილიტაციის სამუშაოების შესყიდვა. </t>
  </si>
  <si>
    <t>27,01,-2.10.2022</t>
  </si>
  <si>
    <t>10</t>
  </si>
  <si>
    <t>ი/მ ომარი ვარაზიშვილი</t>
  </si>
  <si>
    <t>01.03.2021-30/05/2021-პირველი ეტაპი 31/03/2022 - მეორე ეტაპი</t>
  </si>
  <si>
    <t>21</t>
  </si>
  <si>
    <t>შპს შპს თერგი</t>
  </si>
  <si>
    <t>2021 წ.გადახდ.984.7965,ადგ.48.93925, სახ.935.85729, 2022წ.ვალდ.315.94047, ადგ.-21.09770, სახ.294.84277</t>
  </si>
  <si>
    <t xml:space="preserve"> მუნიციპალიტეტის სამოქმედო ტერიტორიაზე სასმელი წყლის ამქაჩი ტუმბოების ან/და მათი კომპლექტის (ახლით) ან/და ხარჯთაღრიცხვებით გათვალისწინებული რომელიმე მოწყობილობის/საქონლის შეძენა-მონტაჟის სამუშაოები</t>
  </si>
  <si>
    <t>25/1</t>
  </si>
  <si>
    <t>შპს შპს ახალი მშენებელი 2019</t>
  </si>
  <si>
    <t>განსახორციელებელი  წყალმომარაგებისა და წყალარინების ქსელების (სისტემების) მოწყობისა და რეაბილიტაციისათვის საჭირო საპროექტო-სახარჯთაღრიცხვო დოკუმენტაციის შედგენის მომსახურება.</t>
  </si>
  <si>
    <t>21,01,-31.12.2022</t>
  </si>
  <si>
    <t>8/4</t>
  </si>
  <si>
    <t>შპს ,,ელკო’’</t>
  </si>
  <si>
    <t>9.02.2022-31.12.2023</t>
  </si>
  <si>
    <t xml:space="preserve">სატრანსპორტო საშუალებ(ებ)ის "Mitsubisubishi L 200"-სახელმწიფო შესყიდვა, </t>
  </si>
  <si>
    <t>20/1</t>
  </si>
  <si>
    <t>შპს ,,კავკასუს მოტორსი’’</t>
  </si>
  <si>
    <t>განკ#557 18.03.2020-789.17; #1167 9.07.2020-487.73</t>
  </si>
  <si>
    <t>02 03 01</t>
  </si>
  <si>
    <t>გარე განათების ქსელის ექსპლოატაცია</t>
  </si>
  <si>
    <t>ქუჩების გარე განათებაზე დახარჯული ელეენერგიის ხარჯი</t>
  </si>
  <si>
    <t>წერილი N26-10012022-88252</t>
  </si>
  <si>
    <t>30,12,2021-31.12.2022</t>
  </si>
  <si>
    <t>157/2</t>
  </si>
  <si>
    <t>ი.მ. ვახტანგ ესაიაშვილი</t>
  </si>
  <si>
    <t>02 03 02</t>
  </si>
  <si>
    <t>გარე განათების ახალი წერტილების მოწყობა</t>
  </si>
  <si>
    <t>სოფ. გიორგიწმინდის ე.წ. ,,აჭარლების დასახლებაში" ახალი ელ.აღრიცხვის კვანძის მოწყობის ხარჯი</t>
  </si>
  <si>
    <t>წერილი N1161-01022022-71309</t>
  </si>
  <si>
    <t>სოფ. სასდილოში ე.წ. ,,აჭარლების დასახლებაში" ახალი ელ.აღრიცხვის კვანძის მოწყობის ხარჯი</t>
  </si>
  <si>
    <t>ქ.საგარეჯოში დავით აღმაშენებლის ქუჩაზე საახალწლო გაფორმების სამუშაოები</t>
  </si>
  <si>
    <t>31.12.2021-2.01.2022</t>
  </si>
  <si>
    <t>შ.პ.ს. ჯეო ელექტრიკ</t>
  </si>
  <si>
    <t xml:space="preserve"> სოფელ ხაშმიდან ამავე სოფელში მდებარე საქართველოს სამოციქულო ავტოკეფალური მართლმადიდებელი ეკლესიის კუთვნილი ობიექტამდე გარე ელექტრომომარაგების  -  ელექტროგადამცემი ხაზების მშენებლობის სამუშაოები</t>
  </si>
  <si>
    <t>14,02,-16.05.2022</t>
  </si>
  <si>
    <t>შპს ,,ელექტრონ დე’’</t>
  </si>
  <si>
    <t>მუნიციპალიტეტის მასშტაბით გარეგანათების მოწყობის სამუშაოები</t>
  </si>
  <si>
    <t>28,03,2022-31.12.2022</t>
  </si>
  <si>
    <t>შ.პ.ს.ბერდე</t>
  </si>
  <si>
    <t xml:space="preserve"> საპროექტო-სახარჯთაღრიცხვო დოკუმენტაციის შედგენის მომსახურება</t>
  </si>
  <si>
    <t>21.01.-31.12.2022</t>
  </si>
  <si>
    <t>8/3</t>
  </si>
  <si>
    <t xml:space="preserve">შპს ,,ნ და ლ’’ </t>
  </si>
  <si>
    <t>02 04</t>
  </si>
  <si>
    <t>ავარიული შენობების და სახლების რეაბილიტაცია</t>
  </si>
  <si>
    <t>სოფ. პატარა ჩაილურში მცხ. დ. მაჩხაშვილის საცხოვრებელი სახლის სტიქიის  შედეგად დაზიანებული სახურავის მოწყობის სამუშაოები ბრძ.52.52220204 20.01.2022</t>
  </si>
  <si>
    <t>21,01,-26.02.2022</t>
  </si>
  <si>
    <t>8/5</t>
  </si>
  <si>
    <t>ი.მ. გელა რევაზიშვილი</t>
  </si>
  <si>
    <t>ქ.საგარეჯოში ალაზნის ქ. N7-ში მდებარე მ. დარბაისელის საცხოვრებელი სახლის სტიქიის შედეგად დაზიანებული სახურავის მწყობის სამუშაოები, ბრძ.52.52220204 20.01.2022</t>
  </si>
  <si>
    <t>ს.გიორგიწმინდაში მცხ.მ.დიღმელაშვილის სტიქიით დაზიანებული საცხ.სახლის სახურავის შეკეთების სამუშაოები ბრ.52.52220461 15.02.2022</t>
  </si>
  <si>
    <t>18,08,2021-06,10,2021</t>
  </si>
  <si>
    <t>97/1</t>
  </si>
  <si>
    <t>შპს ზზ კონსტრაქშენ</t>
  </si>
  <si>
    <t>2021 წ.გადახდ.22.27328,2022წ.ვალდ.1.3576</t>
  </si>
  <si>
    <t>ქ.საგარეჯოში მშვიდობის ქუჩაN12-ში მცხოვრები ბეჟან გრატიაშვილის სტიქიით დაზიანებული საცხ.სახლის სახურავის შეკეთების სამუშაოები</t>
  </si>
  <si>
    <t>2021 წ.გადახდ.14.500.99,2022წ.ვალდ.0.57789</t>
  </si>
  <si>
    <t>ქ.საგარეჯოში, კოსტავას ქ.N64-ში მცხ.ნათია ათანელიშვილის სტიქიის შედეგად დაზიანებული საცხოვრებელი სახლის სახურავის მოწყობა ბ.52.52220463 15.02.2022</t>
  </si>
  <si>
    <t>26</t>
  </si>
  <si>
    <t>17,01,-21.01.2022</t>
  </si>
  <si>
    <t>6/4</t>
  </si>
  <si>
    <t>შპს შპს ხუროთმოძღვარი &lt;ე და მ&gt;</t>
  </si>
  <si>
    <t>საგარეჯოში ალაზნის 47 მდე მ. დარბაისელის, პ.ჩაილურში მცხ დ. მაჩხაშვილის სტ. შედ. დაზ. საცხ.  სახლ. სახურ. რეაბ. სამუშ საპრ. სახარჯ. დოკ. შედგ. მომს.ბ.52.522220204 20.01.2022</t>
  </si>
  <si>
    <t>საგარეჯოში კოსტავას 64 მცხ.ნ.ათანელიშვილის,ს.პატარძეულში დ.ონაშვილის  ს.თოხლიაურში პ.ფოცხვერაშვილის საცხ. სახლ. რეაბ. სამ. საპრ- საარჯთაღრიცხვო დოკ. შედგენა  ბ.52.52220463 15.02.2022</t>
  </si>
  <si>
    <t>24,02,-28.02.2022</t>
  </si>
  <si>
    <t>24</t>
  </si>
  <si>
    <t>ი/მ დავითი კავთუაშვილი</t>
  </si>
  <si>
    <t>სოფ.კაკაბეთში მცხოვრები მიხეილ კუპატაძის სტიქიის შედეგად დაზ.საცხოვრებელი სახლის სახურავის მოწყობა განკ. N330 11.03.2021</t>
  </si>
  <si>
    <t>30,09,2021-19,11,2021</t>
  </si>
  <si>
    <t>117/3</t>
  </si>
  <si>
    <t>ი.მ. ზაქარია დარისპანაშვილი</t>
  </si>
  <si>
    <t>სოფ.ნინოწმინდაში მცხოვრები ვალერი გიუნაშვილის სტიქიის შედეგად დაზ.საცხოვრებელი სახლის სახურავის მოწყობა განკ. N330 11.03.2021</t>
  </si>
  <si>
    <t>ქ.საგარეჯოში მცხოვრები მანანა დათუნაშვილის სტიქიის შედეგად დაზ.საცხოვრებელი სახლის სახურავის მოწყობა განკ. N330 11.03.2021</t>
  </si>
  <si>
    <t>ს.პატარა ჩაილურში მცხოვრები,ნუნუ მაისურაძის სტიქიით დაზიანებული საცხოვრებელი სახლის სახურავის შეცვლა  განკ N330 11.03.2021</t>
  </si>
  <si>
    <t>22,12,2021-12.01.2022</t>
  </si>
  <si>
    <t>151</t>
  </si>
  <si>
    <t>ს.გიორგიწმინდაში მცხოვრები,ლევან დიღმელაშვილის სტიქიით დაზიანებული საცხოვრებელი სახლის სახურავის შეცვლა  განკ N330 11.03.2021</t>
  </si>
  <si>
    <t>სოფელ პატარძეულში მცხოვრები ომარ ჯორბენაძეს სტიქიით დაზიანებული სახცოვრებელი სახლის სახურავის მოწყობა განკ N330 11.03.2021</t>
  </si>
  <si>
    <t>23,12,2021-1301,2021</t>
  </si>
  <si>
    <t>152</t>
  </si>
  <si>
    <t>ი.მ ამირან როსტომაშვილი</t>
  </si>
  <si>
    <t>ქ.საგარეჯოში რუსთაველის ქუჩაზე მდებარე #178 კორპუსის ფასადის მოპირკეთების სამუშაოები</t>
  </si>
  <si>
    <t>04,10,2021-20,12,2021</t>
  </si>
  <si>
    <t>118/1</t>
  </si>
  <si>
    <t>შპს ინ. გრუპი</t>
  </si>
  <si>
    <t>2021 წ.გადახდ.32.38986.2022ვალდ34.98609</t>
  </si>
  <si>
    <t>ქ.საგარეჯოში რუსთაველის ქუჩაზე მდებარე #167 კორპუსის ფასადის მოპირკეთების სამუშაოები</t>
  </si>
  <si>
    <t>ქ.საგარეჯოში რუსთაველის ქუჩაზე მდებარე #176 კორპუსის ფასადის მოპირკეთების სამუშაოები</t>
  </si>
  <si>
    <t>2021 წ.გადახდ.11.57124, 2022ვალდ2.75133</t>
  </si>
  <si>
    <t>ქ.საგარეჯოში რუსთაველის ქუჩაზე მდებარე #174 კორპუსის ფასადის მოპირკეთების სამუშაოები</t>
  </si>
  <si>
    <t>2021 წ.გადახდ.13.42357, 2022ვალდ11.44536</t>
  </si>
  <si>
    <t>ს.ბადიაურში სტიქიის შედეგად დაზიანებული მოქ.თენგიზ მჭედლიშვილის საცხოვრებელი სახლის სახურავის მოწყობის სამუშაოები განკ N330 11.03.2021</t>
  </si>
  <si>
    <t>116/4</t>
  </si>
  <si>
    <t>ი.მ. დავით კავთუაშვილი</t>
  </si>
  <si>
    <t>ს.კოჭბაანში სტიქიის შედეგად დაზიანებული მოქ.მანია ფეტიაშვილის საცხოვრებელი სახლის სახურავის მოწყობის სამუშაოები განკ.N330 11.03.2021</t>
  </si>
  <si>
    <t>ს.შიბლიანში სტიქიის შედეგად დაზიანებული მოქ.ე.ქურცაძეს საცხოვრებელი სახლის სახურავის მოწყობის სამუშაოები განკ. N330 11.03.2021</t>
  </si>
  <si>
    <t>ს.ლამბალოში სტიქიის შედეგად დაზიანებული მოქ.ამზა გარიბოვის საცხოვრებელი სახლის სახურავის მოწყობის სამუშაოები განკ.N330 11.03.2021</t>
  </si>
  <si>
    <t>ს.დუზაგრამაში სტიქიის შედეგად დაზიანებული მოქ.სალიხ ად ალიევის საცხოვრებელი სახლის სახურავის მოწყობის სამუშაოები განკ.N330 11.03.2021</t>
  </si>
  <si>
    <t>31,12,2021-11.11.2022</t>
  </si>
  <si>
    <t>158/4</t>
  </si>
  <si>
    <t>ქ.საგარეჯოში მცხოვრები მოქ. ვალერი კუპატაძეს სტიქიით დაზიანებული საცხოვრებელი სახლის სახურავის მოწყობა განკ.N330 11.03.2021</t>
  </si>
  <si>
    <t>21,12,2021-11,01,2022</t>
  </si>
  <si>
    <t>150/6</t>
  </si>
  <si>
    <t>ი.მ. ნოდარ ხებრელაშვილი</t>
  </si>
  <si>
    <t>ს.წყაროსთავში მცხოვრები მოქ. გიორგი ბეჟიტაშვილის სტიქიით დაზიანებული საცხოვრებელი სახლის სახურავის მოწყობა განკ.N330 11.03.2021</t>
  </si>
  <si>
    <t>ქ.საგარეჯოში მცხ: თამაზი ოზგელდაშვილის სტიქიით დაზიანებული საცხოვრებელი სახლის სახურავის მოწყობა განკ. N330 11.03.2021</t>
  </si>
  <si>
    <t>21,12,2021-25,01,2022</t>
  </si>
  <si>
    <t>150/5</t>
  </si>
  <si>
    <t>შპს ახალი მშენებელი 2019</t>
  </si>
  <si>
    <t>შემოსავალი ხელშეკრულების პირობების დარღვევის გამო დაკისრებული პირგასამტეხლოდან  განკN330 11.03.2021</t>
  </si>
  <si>
    <t>ქ.საგარეჯოში მცხოვრები ვ.ჯავახიშვილის სტიქიით დაზიანებული საცხოვრებელი სახლის სახურავის მოწყობის სამუშაოები განკ.N330 11.03.2021</t>
  </si>
  <si>
    <t>150/7</t>
  </si>
  <si>
    <t>სოფ.წყაროსთავში მცხოვრები გიორგი გაგნიაშვილის სტიქიით დაზიანებული საცხოვრებელი სახლის სახურავის მოწყობის სამუშაოები განკ.N330 11.03.2021</t>
  </si>
  <si>
    <t>ქ.საგარეჯოში მცხოვრები ჯ.ოსიაშვილის სტიქიით დაზიანებული სახოვრებელი სახლის სახურავის მოწყობის სამუშაოები განკ.N330 11.03.2021</t>
  </si>
  <si>
    <t>150/8</t>
  </si>
  <si>
    <t>შპს ნიუ ქონსთრაქშენი</t>
  </si>
  <si>
    <t>2021 წ.გადახდ.24.00083 სახ</t>
  </si>
  <si>
    <t>ს.კოჭბაანში  მცხოვრები მ.წიკლაურის სტიქიით დაზიანებული საცხოვრებელი სახლის სახურავის მოწყობის სამუშაოები განკ.N330 11.03.2021</t>
  </si>
  <si>
    <t>21,12,2021-01,02,2022</t>
  </si>
  <si>
    <t>150/9</t>
  </si>
  <si>
    <t>ი.მ. როინი ფირყულაშვილი</t>
  </si>
  <si>
    <t>ქ.საგარეჯოში ერეკლე მეორის ქ#74-ში მდებარე მრავალბინიანი საცხ.სახლის სახურავის -პარაპეტის სარეაბილიტაციო სამუშაოები</t>
  </si>
  <si>
    <t>21,01,-22.02.2022</t>
  </si>
  <si>
    <t>8/6</t>
  </si>
  <si>
    <t>ი/მ ალექსანდრე დიღმელაშვილი</t>
  </si>
  <si>
    <t>ს.პატარძეულში მცხოვრები გიორგი მეხაშიშვილის საცხოვრებლად გადაცემული ე.წ "ვაგონის" დაზიანებული სახურავის შეკეთება  ბ52.52220807 21/03/2022</t>
  </si>
  <si>
    <t>28,12,2021-02,01,2022</t>
  </si>
  <si>
    <t>155/1</t>
  </si>
  <si>
    <t>ს.თოხლიაურში  მცხოვრები პ.ფოცხვერაშვილის სტიქიით დაზიანებული საცხოვრებელი სახლის სახურავის მოწყობის სამუშაოები ბ.52.522220463 15.02.2022</t>
  </si>
  <si>
    <t>21,03,-31.03.2022</t>
  </si>
  <si>
    <t>36/2</t>
  </si>
  <si>
    <t>შ.პ.ს. მეტალ+</t>
  </si>
  <si>
    <t>ს.პატარძეულში  მცხოვრები დ.ონაშვილის სტიქიით დაზიანებული საცხოვრებელი სახლის სახურავის მოწყობის სამუშაოები ბ.52.522220463 15.02.2022</t>
  </si>
  <si>
    <t>36/1</t>
  </si>
  <si>
    <t>02 05</t>
  </si>
  <si>
    <t>კეთილმოწყობა</t>
  </si>
  <si>
    <t>02 05 01</t>
  </si>
  <si>
    <t>საზოგადოებრივი სივრცეების მოწყობა-რეაბილიტაცია, ექსპლოატაცია</t>
  </si>
  <si>
    <t>მუნიც.ტერიტ.მდებარე უძრავი ქონების საკადასტრო აზომვითი-აგეგმვითი ნახაზების შედგენის მომსახურება</t>
  </si>
  <si>
    <t>05,03,2021-31,12,2021</t>
  </si>
  <si>
    <t xml:space="preserve"> შპს ერისი</t>
  </si>
  <si>
    <t>მუნიციპალიტეტის მიერ განსახორციელებელი 50 000 ლარზე მეტი ღირებულების ინფრასტრუქტურული ობიექტების სამშენებლო სამუშაოებზე საზედამხედველო მომსახურების გაწევა</t>
  </si>
  <si>
    <t>27.02.2021-27.02.2022</t>
  </si>
  <si>
    <t>29</t>
  </si>
  <si>
    <t>შ.პ.ს. საინჟინრო-მონიტორინგი</t>
  </si>
  <si>
    <t>საექსპერტო მომსახურების გაწევა</t>
  </si>
  <si>
    <t>157/6</t>
  </si>
  <si>
    <t>ლ.სამხარაულის სახ.ექსერტიზის ერ.ბიურო</t>
  </si>
  <si>
    <t>ნაშთი განკ.#2630 18.12.2019.</t>
  </si>
  <si>
    <t>02 05 02</t>
  </si>
  <si>
    <t>შენობის ფასადების რეაბილიტაცია</t>
  </si>
  <si>
    <t>02 06</t>
  </si>
  <si>
    <t>სარწყავი არხების და ნაპირსამაგრი ნაგებობების მოწყობა, რეაბილიტაცია და ექსპლოატაცია</t>
  </si>
  <si>
    <t>02 07</t>
  </si>
  <si>
    <t>სასაფლაოების მოვლა და შემოღობვა</t>
  </si>
  <si>
    <t xml:space="preserve">02 08 </t>
  </si>
  <si>
    <t>სოფლის მხარდაჭერის პროგრამა</t>
  </si>
  <si>
    <t xml:space="preserve">2022 წლის 15 თებერვლის   #277 განკარგულებით </t>
  </si>
  <si>
    <t xml:space="preserve">ნაშთი 2015 წლის  12 მარტის #506 განკარგულებით </t>
  </si>
  <si>
    <t>ნაშთი 2019 წლის 22 იანვარს #45 განკარგულებით</t>
  </si>
  <si>
    <t>ნაშთი 2019 წლის 31 დეკემბერს  #2752 განკარგულებიდან</t>
  </si>
  <si>
    <t xml:space="preserve">ნაშთი 2021 წლის 05 თებერვლის   #168 განკარგულებით </t>
  </si>
  <si>
    <t>03 01 01</t>
  </si>
  <si>
    <t>დასუფთავება და ნარჩენების გატანა</t>
  </si>
  <si>
    <t xml:space="preserve"> სოფლებსა (სოფელ მანავის ცენტრალური ქუჩებიდან, სოფელ თოხლიაურის ცენტრალური ქუჩებიდან, სოფელ პატარძეულის ცენტრალური ქუჩებიდან, სოფელი გიორგიწმინდიდან, სოფელი წყაროსთავიდან, სოფელი ნინოწმინდიდან, სოფელ ხაშმიდან -სოფელ შიბლიანამდე გადასახვევები და მიმდებარე ტერიტორიები) და ქ. საგარეჯოს ქუჩებში მუნიციპალიტეტის მიერ განთავსებული ნაგავშემკრები კონტეინერებიდან საყოფაცხოვრებო ნარჩენების გატანის მომსახურება</t>
  </si>
  <si>
    <t>31,12,2021-31.12.2022</t>
  </si>
  <si>
    <t>158/3</t>
  </si>
  <si>
    <t xml:space="preserve"> შპს პროგრესი- 2011</t>
  </si>
  <si>
    <t xml:space="preserve"> დელეგირების ხელშეკრულების თანახმად უფლებამოსილებების (მიუსაფარი ცხოველების საკითხების გადაწყვეტა)ეფექტიანი განხორციელების მიზნით 2022 წლის საწევრო გადასახადი </t>
  </si>
  <si>
    <t>2.08.2021-განუსაზღვრელი ვადით</t>
  </si>
  <si>
    <t>ა(ა)იპ - მიუსაფარი შინაური ცხოველების მართვის კახეთის ინტერმუნიციპალური სააგენტო</t>
  </si>
  <si>
    <t>17,01,2022-</t>
  </si>
  <si>
    <t>ქ. საგარეჯოს ქუჩების დასუფთავება და დაგვა, წყალსადინარი არხების გაწმენდის, ცენტრალური ქუჩებისა და ტროტუარების თოვლისგან/ყინულისაგან გაწმენდის მომსახურება</t>
  </si>
  <si>
    <t>23,12,2021-31.12.2022</t>
  </si>
  <si>
    <t>152/1</t>
  </si>
  <si>
    <t xml:space="preserve"> შპს პროგრესი- 2012</t>
  </si>
  <si>
    <t>მუნიციპალიტეტის ტერიტორიაზე არსებული  საავტომობილო გზებისთვის ტექნიკური მარილის შესყიდვა</t>
  </si>
  <si>
    <t>30,11,-30.12.2021</t>
  </si>
  <si>
    <t>03 02</t>
  </si>
  <si>
    <t>მწვანე ნარგავების მოვლა-პატრონობა, განვითარება</t>
  </si>
  <si>
    <t>ქალაქ საგარეჯოს ცენტრალურ ნაწილში ახალი რეკრეაციული და გასართობი არეალის მოწყობა განკ.#1419 16.08.2021</t>
  </si>
  <si>
    <t>30,12,2021-31.03.2022</t>
  </si>
  <si>
    <t>157/1</t>
  </si>
  <si>
    <t>2021წ.გადახდ91.855, ადგ4.592, სახ87.263, 2022წ.ვალდ.367.425,ადგ18.372, სახ.349.05298</t>
  </si>
  <si>
    <t>03 03</t>
  </si>
  <si>
    <t>კაპიტალური დაბანდებანი დასუფთავების სფეროში</t>
  </si>
  <si>
    <t>04 02</t>
  </si>
  <si>
    <t>სკოლამდელი დაწესებულებების რეაბილიტაცია, მშენებლობა</t>
  </si>
  <si>
    <t>სოფ.უდაბნოში სკოლამდელი აღზრდის დაწესებულების აღდგენითი სამუშაოები</t>
  </si>
  <si>
    <t>14,09,2021-16,11,2021</t>
  </si>
  <si>
    <t>110/4</t>
  </si>
  <si>
    <t>შპს მეგა 8</t>
  </si>
  <si>
    <t>სოფ. ყანდაურის საბავშვო ბაღის  სარეაბილიტაციო სამუშაოები განკ.N1266 26.07.2021</t>
  </si>
  <si>
    <t>09,11,2021-08,03,2022</t>
  </si>
  <si>
    <t>შპს სამშენებლო კომპანია ალფა</t>
  </si>
  <si>
    <t>17,01,-21.03.2022</t>
  </si>
  <si>
    <t>6/1</t>
  </si>
  <si>
    <t>შპს მეტალ +</t>
  </si>
  <si>
    <t>სოფ.გიორგიწმინდის საბავშვო ბაღის რეაბილიტაციის სამუშაოები</t>
  </si>
  <si>
    <t>31,08,2021-30,11,2021</t>
  </si>
  <si>
    <t>სოფ.პატარძეულის საბავშვო ბაღის რეაბილიტაციის სამუშაოები</t>
  </si>
  <si>
    <t>20,08,2021-19,11,2021</t>
  </si>
  <si>
    <t>99</t>
  </si>
  <si>
    <t>სოფ.კაკაბეთში სკოლამდელი აღზრდის დაწესებულებიდან დასაწყობებული ვარგისი  სამშენებლო მასალის გადასატანად სპეცტექნიკის დაქირავება</t>
  </si>
  <si>
    <t>15,02,-17.02.2022</t>
  </si>
  <si>
    <t>21/1</t>
  </si>
  <si>
    <t>ი.მ. გიორგი გაგნიაშვილი</t>
  </si>
  <si>
    <t>ს.გომბორის ს/ბაღის   აღსაზრდელთათვის  სამგზავრო სატრანსპორტო საშუალებათა  დაქირავების  მომს.</t>
  </si>
  <si>
    <t>25,01,-22.08.2022</t>
  </si>
  <si>
    <t>9</t>
  </si>
  <si>
    <t>ი/მ გიორგი ხუმარაშვილი</t>
  </si>
  <si>
    <t>ს.დიდი ჩაილურის სკოლამდელი აღზრდის დაწესებულების რეაბილიტაციის სამუშაოები</t>
  </si>
  <si>
    <t>14,09,2021-14,12,2021</t>
  </si>
  <si>
    <t>110/5</t>
  </si>
  <si>
    <t>შპს მეგა - 8</t>
  </si>
  <si>
    <t>11,11,2021-6.07.2022</t>
  </si>
  <si>
    <t>131</t>
  </si>
  <si>
    <t>შპს ,,მაგოილი"</t>
  </si>
  <si>
    <t xml:space="preserve"> საპროექტო-სახარჯთაღრიცხვო დოკუმენტაციის შედგენის მომსახურება.</t>
  </si>
  <si>
    <t xml:space="preserve">შპს ,,ნ და ლ’’, </t>
  </si>
  <si>
    <t>ს.კოჭბანის ს/ბაღის   აღსაზრდელთათვის  სამგზავრო სატრანსპორტო საშუალებათა  დაქირავების  მომს.</t>
  </si>
  <si>
    <t>25,01,2022-22.08.2022</t>
  </si>
  <si>
    <t>9/1</t>
  </si>
  <si>
    <t>ი.მ.ალექსი მამუკაშვილი</t>
  </si>
  <si>
    <t>ხაშმის საბავშვო ბაღის რეაბილიტაციის სამუშაოები</t>
  </si>
  <si>
    <t>1.11.2021-31.01.2022</t>
  </si>
  <si>
    <t>შ.პ.ს. არქიტრავი</t>
  </si>
  <si>
    <t xml:space="preserve"> საზედამხედველო მომსახურების გაწევა</t>
  </si>
  <si>
    <t>09,02,-31.12.2022</t>
  </si>
  <si>
    <t>17</t>
  </si>
  <si>
    <t>შპს ,,საინჟინრო მონიტორინგის ჯგუფი’’</t>
  </si>
  <si>
    <t>ნაშთი განკ.#2630 18.12.2019</t>
  </si>
  <si>
    <t>04 04</t>
  </si>
  <si>
    <t>საჯარო სკოლების მცირე სარეაბილიტაციო სამუშაოები და მოსწავლეთა ტრანსპორტირების უზრუნველყოფა</t>
  </si>
  <si>
    <t>ს.მ</t>
  </si>
  <si>
    <t>25,02,2021-31,12,2021</t>
  </si>
  <si>
    <t>შპს ბინუ</t>
  </si>
  <si>
    <t>სოფ.ნინოწმინდის საჯარო სკოლის სარეაბილიტაციო სამუშაოები განკ.N147 4.02.2021</t>
  </si>
  <si>
    <t>27.12.2021-28.02.2022</t>
  </si>
  <si>
    <t>154</t>
  </si>
  <si>
    <t>14,01,-18.01.2022</t>
  </si>
  <si>
    <t>5/1</t>
  </si>
  <si>
    <t>ნაშთი განკ.#27 9.01.2020</t>
  </si>
  <si>
    <t>ნაშთი განკ.#147 4.02.2021</t>
  </si>
  <si>
    <t>05 01 03</t>
  </si>
  <si>
    <t>სპორტული ობიექტების აღჭურვა, რეაბილიტაცია, მშენებლობა</t>
  </si>
  <si>
    <t>შემოსავალი ხელშეკრულების პირობების დარღვევის გამო დაკისრებული პირგასამტეხლოდან(ს/კ202456430 შ.პ.ს "ბეგი ჯორჯია"</t>
  </si>
  <si>
    <t>10,06,2021-07,10,2021</t>
  </si>
  <si>
    <t>64</t>
  </si>
  <si>
    <t>შპს ბეგი ჯორჯია</t>
  </si>
  <si>
    <t>2021 წ.გადახდილია 139.92102, 2022წ.ვალდ.202.32833</t>
  </si>
  <si>
    <t>სოფ.უდაბნოში სპორტული დარბაზის მშენებლობის სამუშაოები</t>
  </si>
  <si>
    <t>შემოსავალი ხელშეკრულების პირობების დარღვევის გამო დაკისრებული პირგასამტეხლოდან(ს/კ 202172978 შ.პ.ს "მაია")</t>
  </si>
  <si>
    <t>28,07,2021-29,09,2021</t>
  </si>
  <si>
    <t>88/2</t>
  </si>
  <si>
    <t>შპს მაია</t>
  </si>
  <si>
    <t>სოფელ შიბლიანში მინი სტადიონის მოწყობა</t>
  </si>
  <si>
    <t>2021 წ.გადახდილია 31.33798, 2022წ.ვალდ.50.683043</t>
  </si>
  <si>
    <t>ს.პატარძეულში არსებ. სპორტული დარბაზის სრულფასოვანი ფუნქციონირებისთვის 300გრძ.მ. ელსადენის შესყიდვა</t>
  </si>
  <si>
    <t>07,03,-10.03.2022</t>
  </si>
  <si>
    <t>29/2</t>
  </si>
  <si>
    <t>შპს შპს  გეგა 2018</t>
  </si>
  <si>
    <t>შემოსავალი ხელშეკრულების პირობების დარღვევის გამო დაკისრებული პირგასამტეხლოდან (ს/კ 202172978 შ.პ.ს "მაია")</t>
  </si>
  <si>
    <t>21.05.2021-23.07.2021</t>
  </si>
  <si>
    <t>შპს შპს მაია</t>
  </si>
  <si>
    <t>ს.თულარში მინი სტადიონის მოწყობის სამუშაოები</t>
  </si>
  <si>
    <t>2021 წ.გადახდილია 27.96881, 2022წ.ვალდ.46.91399</t>
  </si>
  <si>
    <t>ს.გიორგიწმინდაში მდებარე სპორტული დარბაზის  დაზიანებული სახურავის რეაბილიტაცია-მოწყობის სამუშაოები</t>
  </si>
  <si>
    <t>საზედამხედველო მომსახურების გაწევა</t>
  </si>
  <si>
    <t>09,02,2022-31.12.2023</t>
  </si>
  <si>
    <t>55/4</t>
  </si>
  <si>
    <t>შ.პ.ს. მაია</t>
  </si>
  <si>
    <t>ხელშეკრულება შეწყვეტილია 2021 წ.გადახდილია 27.96881, 2022წ.ვალდ.46.91399</t>
  </si>
  <si>
    <t xml:space="preserve">ნაშთი განკ.#2630 18.12.2019 </t>
  </si>
  <si>
    <t xml:space="preserve">გომბორის საჭიდაო დარბაზის რეაბილიტაცია განკ.#2630 18.12.2019 </t>
  </si>
  <si>
    <t>06 01 02</t>
  </si>
  <si>
    <t>სოფლის ამბულატორიების ხელშეწყობა და ჯანდაცვის ობიექტების მშენებლობა-რეაბილიტაცია</t>
  </si>
  <si>
    <t>უდაბნოს ექიმის მომსახურება</t>
  </si>
  <si>
    <t>ნაშთი განკ.#554 15.03.2019</t>
  </si>
  <si>
    <t>სოფ.ნინოწმინდაში სასაფლაოსთან მდებარე გზის მოასფალტება</t>
  </si>
  <si>
    <t>ინფრასტრუქტურული პროექტების საპროექტო და სამშენებლო სამუშაოების საზედამხედველო  მომსახურება</t>
  </si>
  <si>
    <t>შპს საინჟინრო მონიტორინგის ჯგუფი</t>
  </si>
  <si>
    <t>შემოსავალი ხელშეკრულების პირობების დარღვევის გამო დაკისრებული პირგასამტეხლოდან(შპს "უნივერსალ სერვისი" ს/კ 443568569)</t>
  </si>
  <si>
    <t>შპს შპს  უნივერსალ სერვისი</t>
  </si>
  <si>
    <t>ერთიანი ანგარიში; სხვა შემოსულობები; საგარეჯო</t>
  </si>
  <si>
    <t>122</t>
  </si>
  <si>
    <t>ს/კაკაბეთში, ნინოწმინდაში, მარიამჯვარში, კურორტ კოდაზე წლის მილსადენების მოწყობის საპრ.სახარჯ.დოკუმენტაციის შედგენის მომსახურება</t>
  </si>
  <si>
    <t>ს.უდაბნოში ფეკალური მასისგან გადავსებული  საკანალიზაციო (ხუთი ჭა) სისტემის გაწმენდითი მომსახურების შესყიდვა</t>
  </si>
  <si>
    <t>ი/მ გიორგი ვარაზიშვილი</t>
  </si>
  <si>
    <t>49/2</t>
  </si>
  <si>
    <t>სოფ. ხაშმიდან ამავე სოფ. მდებარე ეკლესიამდე ელ. გადამცემი ხაზების სრულფასოვანი მუშაობისთვის ახალი ელ. აღრიცხვის კვანძის მოწყობის ხარჯი</t>
  </si>
  <si>
    <t>სს "ენერგო-პრო-ჯორჯია"</t>
  </si>
  <si>
    <t>წერილი #: 6640-21042022-00884; თარიღი: 21/04/2022</t>
  </si>
  <si>
    <t xml:space="preserve"> შპს ნ და ლ</t>
  </si>
  <si>
    <t>103/2</t>
  </si>
  <si>
    <t>ს.პატარძეულში მცხოვრებ სოციალურად დაუცველი მოქალაქის მ.დარცმელიას დაზიანებული საცხ.სახლის შეკეთებისთვის საჭირო სამშენებლო მასალების შესყიდვა</t>
  </si>
  <si>
    <t>40/1</t>
  </si>
  <si>
    <t>შპს ნ და ლ</t>
  </si>
  <si>
    <t xml:space="preserve"> შპს საინჟინრო მონიტორინგის ჯგუფი</t>
  </si>
  <si>
    <t>სოფელ ხაშმში მინი სტადიონის მოწყობის სამუშაოები</t>
  </si>
  <si>
    <t>88/3</t>
  </si>
  <si>
    <t>მუნიციპალიტეტის ტერიტორიაზე დაზიანებული შიდა გზების მოხრეშვისთვის საჭირო 100კუბ.მ. 10-20 ფრაქციის ქვიშა ღორღის შესყიდვა</t>
  </si>
  <si>
    <t>113/4</t>
  </si>
  <si>
    <t xml:space="preserve"> შპს სთოუნ ეიჯ დეველოპმენტ გრუპი</t>
  </si>
  <si>
    <t>შემოსავალი ხელშეკრულების პირობების დარღვევის გამო დაკისრებული პირგასამტეხლოდან (ს/კ400035706 შ.პ.ს "როვერი 2012")</t>
  </si>
  <si>
    <t>შპს როვერი</t>
  </si>
  <si>
    <t>შემოსავალი ხელშეკრულების პირობების დარღვევის გამო დაკისრებული პირგასამტეხლოდან(სს"კავკასავტომაგისტრალი"ს/კ 238109202)</t>
  </si>
  <si>
    <t xml:space="preserve"> ქ.საგარეჯოში მუზეუმის მიმდებარე ქუჩის მოასფალტების სამუშაოები</t>
  </si>
  <si>
    <t xml:space="preserve"> ქ.საგარეჯოში ვაჩნაძის ქუჩის მოასფალტების სამუშაოები</t>
  </si>
  <si>
    <t>წერილი #: 7301-06052022-59999; თარიღი: 06/05/2022</t>
  </si>
  <si>
    <t>წერილი #: 7334-06052022-05440; თარიღი: 06/05/2022</t>
  </si>
  <si>
    <t>წერილი #: 7913-18052022-77744; თარიღი: 18/05/2022</t>
  </si>
  <si>
    <t xml:space="preserve"> სს საქართველოს რკინიგზა</t>
  </si>
  <si>
    <t>ქ.საგარეჯოში კახეთის გზ.#19ა-ს ეზოში არსებული 7  საკანალიზაციო ჭის გაწმენდის მომსახურება</t>
  </si>
  <si>
    <t>65/1</t>
  </si>
  <si>
    <t>46/1</t>
  </si>
  <si>
    <t>ქ.საგარეჯოში მცხოვრებ ნ.ქურდოვანიძის დაზიანებული სახლის სახურავის შეღებვის  სამუშაოები</t>
  </si>
  <si>
    <t>46</t>
  </si>
  <si>
    <t>ი/მ თამარ ცანავა</t>
  </si>
  <si>
    <t>ქ.საგარეჯოში აღმაშენებლის ქ#15-შ მდებარე სათნოების სახლის რეაბილიტაციის სამუშაოები</t>
  </si>
  <si>
    <t>52</t>
  </si>
  <si>
    <t>შპს მათე 2014</t>
  </si>
  <si>
    <t>ქ.საგარეჯოში ერეკლე მეორეს ქუჩაზე სანიაღვრე არხებისა და ლითონის ცხაურების მოწყობის სამუშაოები</t>
  </si>
  <si>
    <t>შემოსავალი ხელშეკრულების პირობების დარღვევის გამო დაკისრებული პირგასამტეხლოდან(ს/კ 424613831 შ.პ.ს "ჯემინ ჯორჯია"</t>
  </si>
  <si>
    <t>72/1</t>
  </si>
  <si>
    <t>შპს ჯემინ ჯორჯია</t>
  </si>
  <si>
    <t xml:space="preserve"> შპს ხუროთმოძღვარი &lt;ე და მ&gt;</t>
  </si>
  <si>
    <t>ი/მ გია დუჩიძე</t>
  </si>
  <si>
    <t>43/1</t>
  </si>
  <si>
    <t>18,03,2022-</t>
  </si>
  <si>
    <t>35</t>
  </si>
  <si>
    <t>კულტურის ობიექტების აღჭურვა, რეაბილიტაცია, მშენებლობა</t>
  </si>
  <si>
    <t>05 02 02</t>
  </si>
  <si>
    <t xml:space="preserve"> საგარეჯოში არსებული  კულტურის სახლის სველი  წერტილების  მოწყობა-რეაბილიტაცია</t>
  </si>
  <si>
    <t>შპს შპს ბოძკინტი</t>
  </si>
  <si>
    <t>61/1</t>
  </si>
  <si>
    <t>22,09,2021-31,12,2021</t>
  </si>
  <si>
    <t>21,01,2022-13.05.2022</t>
  </si>
  <si>
    <t>მუნიციპალიტეტის ადმინისტრაციულ ერთეულებში ქ.საგარეჯოსა და ს.დუზაგრამაში სხვადასხვა ობიექტების მოსახრეშად საჭირო ქვიშა-ღორღის შესყიდვა</t>
  </si>
  <si>
    <t>შპს დილა-95</t>
  </si>
  <si>
    <t>მუნიციპალიტეტის ტერიტორიაზე არსებული გზების ორმოული შეკეთების სამუშაოები</t>
  </si>
  <si>
    <t>შპს ,,გარდაბნის  საგზაო სამმართველო"</t>
  </si>
  <si>
    <t>შპს მილენიუმ ბილდერს გრუპ</t>
  </si>
  <si>
    <t>28.02.2020-27.06.2020</t>
  </si>
  <si>
    <t>31.01.2020-30.05.2020</t>
  </si>
  <si>
    <t>ორი კვარტლის გეგმა</t>
  </si>
  <si>
    <t>ორი კვარტ.დაფინან. %</t>
  </si>
  <si>
    <t>77/1</t>
  </si>
  <si>
    <t>77/2</t>
  </si>
  <si>
    <t>77/3</t>
  </si>
  <si>
    <t>შპს როუდ სოლუშენს</t>
  </si>
  <si>
    <t>06.05.2020-03.09.2020</t>
  </si>
  <si>
    <t>65/2</t>
  </si>
  <si>
    <t>შემოსავალი ხელშეკრულების პირობების დარღვევის გამო დაკისრებული პირგასამტეხლოდან  (სოფ. კაზლარის წყალმომარაგების სისტემის მოწყობა)(ს/კ 204981957 შ.პ.ს "კაპიტელი") განკ N2630</t>
  </si>
  <si>
    <t>შემოსავალი ხელშეკრულების პირობების დარღვევის გამო დაკისრებული პირგასამტეხლო (ქ. საგარეჯოში, კახეთის გზატკეცილის N1 შესახვევის მოასფალტება ე.წ. ,,სოკარის ქუჩა") შპს როუ სოლუშენს განკ.#2630 18.12.2019</t>
  </si>
  <si>
    <t>შემოსავალი ხელშეკრულების პირობების დარღვევის გამო დაკისრებული პირგასამტეხლოდან (ქ.საგარეჯოში, ჩოლოყაშვილის ქუჩის მოასფალტება )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</si>
  <si>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პირგასამტეხლოდან *(ქ.საგარეჯოში სათავის ქუჩის მოასფალტება და სანიაღვრე არხების მოწყობა)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</si>
  <si>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(ქ.საგარეჯოში , გიორგი ბრწყინვალეს ქუჩის მოასფალტება)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</si>
  <si>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(ქ.საგარეჯოში, გურამიშვილის ქუჩის დარჩენილი მონაკვეთის მოასფალტება)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</si>
  <si>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(ს. პატარძეულში, მონასტერთან მისასვლელი გზის მოასფალტება)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</si>
  <si>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(ს.პატარძეულში,ე.წ. ,,ონაანთ" უბნის გზის მოასფალტება)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</si>
  <si>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 გიორგიწმინდაში, სასაფლაოს გზაზე რკ/ბეტონის საფარის მოწყობა)  შპს როუდ სოლუშენს განკ.#2630 18.12.2019</t>
  </si>
  <si>
    <t>შემოსავალი ხელშეკრულების პირობების დარღვევის გამო დაკისრებული პირგასამტეხლო ( პატარა ჩაილურში ცენტრალური გზის მოასფალტება)  შპს როუდ სოლუშენს განკ.#2630 18.12.2019</t>
  </si>
  <si>
    <t>21,01,2022-31.12.2022</t>
  </si>
  <si>
    <t>14.02.2022-31.08.2022</t>
  </si>
  <si>
    <t>72</t>
  </si>
  <si>
    <t>ს.კაკაბეთში  მცხოვრებ ა.ღვინაშვილის დაზიანებული სახლის მშენებლობისთვის სამშენებლო ქვიშისა და ღორღის შესყიდვა</t>
  </si>
  <si>
    <t>ს.ანთოკში მცხოვრები ბესარიონ პაპუნაშვილის ხანძრის შედეგად  დაზიანებული  საცხოვრებელი  სახლის რეაბილიტაციისათვის  საჭირო სამშენებლო  მასალების  შესყიდვა</t>
  </si>
  <si>
    <t>68-2</t>
  </si>
  <si>
    <t>66/1</t>
  </si>
  <si>
    <t>ქ.საგარეჯოში  ე.წ.მასწავლებელთა მრავალბინიანი საცხოვრებელი კორპუსის შენობის სახურავის რეაბილიტაციის სამუშაოები</t>
  </si>
  <si>
    <t>81/1</t>
  </si>
  <si>
    <t>71</t>
  </si>
  <si>
    <t>22</t>
  </si>
  <si>
    <t>ს.თოხლიაურის საბავშვო ბაღის შენობის რეაბილიტაცია</t>
  </si>
  <si>
    <t xml:space="preserve"> ამხანაგობა "ველი+"</t>
  </si>
  <si>
    <t>110/3</t>
  </si>
  <si>
    <t>შემოსავალი ხელშეკრულების პირობების დარღვევის გამო დაკისრებული პირგასამტეხლოდან(ამხანაგობა "ველი+" ს/კ 205439836)</t>
  </si>
  <si>
    <t>ქ.საგარეჯოს #1 და ს.პატარა ჩაილურის სკოლამდელი აღზრდის დაწესებულებების სამზარეულოებისა და სასაწყობე ოთახების რეაბილიტაციის სამუშაოები</t>
  </si>
  <si>
    <t>65</t>
  </si>
  <si>
    <t>შპს ბურჯი 2018</t>
  </si>
  <si>
    <t>სსიპ - ლევან სამხარაულის სახელობის სასამართლო ექსპერტიზის ეროვნული ბიუროს მიერ გაწეული მომსახურების საფასურის.(ხაშმის ს/ბაღის შენობა-ნაგებობის ტექნიკური მდგომარეობის დადგენა)</t>
  </si>
  <si>
    <t>5/4</t>
  </si>
  <si>
    <t>25,02,2022-31.12,2022-</t>
  </si>
  <si>
    <t>73</t>
  </si>
  <si>
    <t>76</t>
  </si>
  <si>
    <t>80/1</t>
  </si>
  <si>
    <t>85</t>
  </si>
  <si>
    <t>68</t>
  </si>
  <si>
    <t>შპს ,,გიო და კომპანია"</t>
  </si>
  <si>
    <t>შპს ბურჯი 2008</t>
  </si>
  <si>
    <t>72/3</t>
  </si>
  <si>
    <t>72/2</t>
  </si>
  <si>
    <t>72/4</t>
  </si>
  <si>
    <t>67/1</t>
  </si>
  <si>
    <t>85/1</t>
  </si>
  <si>
    <t>01,03,2022-15.03,2022</t>
  </si>
  <si>
    <t>17,01,2022-21.01.2022</t>
  </si>
  <si>
    <t>ქ. საგარეჯოში კოსტავას ქუჩა #15-ში მდებარე ჭაბურღილის რეაბილიტაციის სამუშაოების შესყიდვა</t>
  </si>
  <si>
    <t>20,05,-19.08.2022</t>
  </si>
  <si>
    <t>21,03,-30.05.2022</t>
  </si>
  <si>
    <t>22,03,-31.12.2022</t>
  </si>
  <si>
    <t>#2374 27.12.2021 წ.გრანტი</t>
  </si>
  <si>
    <t>03,05,-2.08.2022</t>
  </si>
  <si>
    <t>2021 წ.გადახდ.190.37841, ადგ.9.51892, სახ.180.85949, 2022წ.ვალდ.94.511</t>
  </si>
  <si>
    <t>07,06,-9.08.2022</t>
  </si>
  <si>
    <t>შპს ენ-დი როუდი</t>
  </si>
  <si>
    <t>07,06,-9.08.2022-29.04.2023</t>
  </si>
  <si>
    <t>ს.ს.კავკასავტომაგისტრალი</t>
  </si>
  <si>
    <t>2022 წლის ვალდ.238.500</t>
  </si>
  <si>
    <t>07,06,-6.09.2022</t>
  </si>
  <si>
    <t>31,08,-31.12.2021</t>
  </si>
  <si>
    <t>შ.პ.ს კავკასავტომაგისტრალი</t>
  </si>
  <si>
    <t>შ.პ.ს. ,,კავკაზ როუდი"</t>
  </si>
  <si>
    <t>განკ#2630 18.12.2019-1.6; #2159 11.10.2019-0.39;</t>
  </si>
  <si>
    <t xml:space="preserve">#75  17.01.2022 განკ. </t>
  </si>
  <si>
    <t>30,05,-4.07.2022</t>
  </si>
  <si>
    <t>შ.პ.ს.ბურღი</t>
  </si>
  <si>
    <t>მუნიციპალიტეტში 2022 წლის 28 მარტს მომხდარი სტიქიის შედეგად დაზიანებული კერძო საცხოვრებელი  სახლის სახურავების რეაბილიტაციის საპროექტო-სახარჯთაღრიცხვო  დოკუმენტაციის  შედგენა #604 5.04.2022 განკ.</t>
  </si>
  <si>
    <t>ნაშთი განკ.#1266 16.07.2021</t>
  </si>
  <si>
    <t>კაკაბეთის #1 სკოლამდელი დაწესებულების მშენებლობა განკ.#75 17.01.2022-510.983; #2685 31.12.2020-900;</t>
  </si>
  <si>
    <t>განკ#604 5.04.2022</t>
  </si>
  <si>
    <t>ს.მანავის საჯარო სკოლის სამსართულიან კორპუსში გათბობის სისტემის მოწყობის II ეტაპი განკ N51 14.01.2022</t>
  </si>
  <si>
    <t>შ.პ.ს საინჟინრო მონიტორინგი</t>
  </si>
  <si>
    <t>მერია</t>
  </si>
  <si>
    <t>01 01 02</t>
  </si>
  <si>
    <t>შ.პ.ს ხუროთმოძღვარი ე და მ</t>
  </si>
  <si>
    <t>საპროექტო მომსახურება განკ.#604 5.04.2022</t>
  </si>
  <si>
    <t>25,05,2022-31.01.2023</t>
  </si>
  <si>
    <t>24,05,-30.05.2022</t>
  </si>
  <si>
    <t>15,11,2021-30.05.2022</t>
  </si>
  <si>
    <t>03,06,-5.08.2021</t>
  </si>
  <si>
    <t>27,02,2020-27.02.2021</t>
  </si>
  <si>
    <t>21,04,-24.08.2022</t>
  </si>
  <si>
    <t>13,01,-30.03.2022</t>
  </si>
  <si>
    <t>14,04,-30.04.2022</t>
  </si>
  <si>
    <t>16,05,-19.05.2022</t>
  </si>
  <si>
    <t>12,10,2021-25.02.2022</t>
  </si>
  <si>
    <t>31,08,2021-31.12.2021</t>
  </si>
  <si>
    <t>29,03,-4.04.2022</t>
  </si>
  <si>
    <t>07,04,-30.06.2022</t>
  </si>
  <si>
    <t>07,04,-21.04.2022</t>
  </si>
  <si>
    <t>20,04,-30.07.2022</t>
  </si>
  <si>
    <t>23,05,-26.05.2022</t>
  </si>
  <si>
    <t>19,05,-25.05.2022</t>
  </si>
  <si>
    <t>14,06,-31.12.2022</t>
  </si>
  <si>
    <t>საზედამხედველო მომსახურება</t>
  </si>
  <si>
    <t>შ.პ.ს. საინჟინრო მონიტორინგის ჯგუფი</t>
  </si>
  <si>
    <t>25,05,2022-31.03.2023</t>
  </si>
  <si>
    <t>ი.მ.ლერი ვერძაძე</t>
  </si>
  <si>
    <t>საჭირო საპროექტო-სახარჯთაღრიცხვო დოკუმენტაციის შედგენის მომსახურების შესყიდვა.</t>
  </si>
  <si>
    <t>22,06,-13.09.2022</t>
  </si>
  <si>
    <t>შპს ნიუ სითი</t>
  </si>
  <si>
    <t>ი/მ თორნიკე ფართლაძე</t>
  </si>
  <si>
    <t>17,02,2022-5.02.2023</t>
  </si>
  <si>
    <t>საგარეჯოს მუნიციპალიტეტის ტერიტორიტორიაზე მდებარე უძრავი ქონების საკადასტრო აზომვითი-აგეგმვითი ნახაზების შედგენის მომსახურების სახელმწიფო შესყიდვა</t>
  </si>
  <si>
    <t>30,05,-1.08.2022</t>
  </si>
  <si>
    <t>ქ. საგარეჯოში შ. რუსთაველის ქუჩა #178-ში მდებარე შენობის ფასადის რეაბილიტაციის სამუშაოების შესყიდვა</t>
  </si>
  <si>
    <t>25,06,-31.12.2021</t>
  </si>
  <si>
    <t>სოფელ შიბლიანის, სოფელ პატარა ჩაილურის, სოფელ ვერხვიანისა და სოფელ პატარძეულის მეორე სკოლამდელი აღზრდის დაწესებულებებში გათბობის სამუშაოების შესყიდვა.</t>
  </si>
  <si>
    <t>შ.პ.ს. ციტადელი</t>
  </si>
  <si>
    <t>31,05,-1.09.2022</t>
  </si>
  <si>
    <t>სოფელ პატარძეულში ს/კ:55.14.51.022 მიწის ნაკვეთზე მდებარე შენობის ფასადის რეაბილიტაციის სამუშაოების შესყიდვა.</t>
  </si>
  <si>
    <t>შპს მანგორი</t>
  </si>
  <si>
    <t>06,06,-8.08.2022</t>
  </si>
  <si>
    <t>13,06,-3.10.2022</t>
  </si>
  <si>
    <t>შპს არქიტრავი</t>
  </si>
  <si>
    <t>სოფელ მზისგულის სკოლამდელი აღზრდის დაწესებულების რეაბილიტაციის სამუშაოების შესყიდვა.</t>
  </si>
  <si>
    <t>23,05,-20.06.2022</t>
  </si>
  <si>
    <t>28,07,-31.12.2021</t>
  </si>
  <si>
    <t>13,06,-31.08.2022</t>
  </si>
  <si>
    <r>
      <t>შპს</t>
    </r>
    <r>
      <rPr>
        <sz val="8"/>
        <rFont val="Times New Roman"/>
        <family val="1"/>
        <charset val="204"/>
      </rPr>
      <t xml:space="preserve"> ,,</t>
    </r>
    <r>
      <rPr>
        <sz val="8"/>
        <rFont val="Sylfaen"/>
        <family val="1"/>
        <charset val="204"/>
      </rPr>
      <t>ეპიურა</t>
    </r>
    <r>
      <rPr>
        <sz val="8"/>
        <rFont val="Times New Roman"/>
        <family val="1"/>
        <charset val="204"/>
      </rPr>
      <t>’’</t>
    </r>
  </si>
  <si>
    <t>29,04,-31.08.2022</t>
  </si>
  <si>
    <t>სოფელ გიორგიწმინდაში არსებული მინი სპორტული მოედნის რეკონსტრუქციის სამუშაოების შესყიდვა.</t>
  </si>
  <si>
    <t>შპს ფილ ვეი გრუპ</t>
  </si>
  <si>
    <t>30,05,-1.08.2022-</t>
  </si>
  <si>
    <t>სოფელ ნინოწმინდაში არსებული მინი სპორტული მოედნის რეკონსტრუქციის სამუშაოების შესყიდვა.</t>
  </si>
  <si>
    <t>შ.პ.ს. მზეხი</t>
  </si>
  <si>
    <t>02,06,-31.10.2022</t>
  </si>
  <si>
    <t>სოფელ მანავში (ბურდიანში) არსებული მინი სპორტული მოედნის რეკონსტრუქციის სამუშაოების შესყიდვა.</t>
  </si>
  <si>
    <t>სოფელ მანავში (ზემო მანავში) არსებული მინი სპორტული მოედნის რეკონსტრუქციის სამუშაოების შესყიდვა.</t>
  </si>
  <si>
    <t> "ფერმო ფენსი"</t>
  </si>
  <si>
    <t>21,06,-31.12.2022</t>
  </si>
  <si>
    <t>სოფელ ბადიაურში და ყანდაურაში მინი მოედნის რეაბილიტაციის ხელოვნური საფარის მოწყობი სამუშაოების შესყიდვა.</t>
  </si>
  <si>
    <t>სოფ.მანავში(ტურის უბანში) არსებული მინი სპორტული მოედანის რეკონსტრუქციის სამუშაოები</t>
  </si>
  <si>
    <t>შ.პ.ს. ფერმო ფენსი</t>
  </si>
  <si>
    <t>სოფელ ხაშმში მწერალ რევაზ ინანიშვილის სახლ-მუზეუმის რეკონსტრუქცია-აღდგენის სამუშაოების შესყიდვა.</t>
  </si>
  <si>
    <t>20,05,-31.12.2022</t>
  </si>
  <si>
    <t>ი.მ.დავითი კავთუაშვილი</t>
  </si>
  <si>
    <t xml:space="preserve"> შპს ჯეოვოის ტრეიდინგი</t>
  </si>
  <si>
    <t>22,06,-31.10.2022</t>
  </si>
  <si>
    <t>სასცენო განათების ინვენტარის შესყიდვა თანმდევი ინსტალაციით.</t>
  </si>
  <si>
    <t>ქ.საგარეჯოში ცენტრალური გზის მიმდებარედ წყალმომარაგების ჭაბურღილისა და სამარაგო რეზერვუარის მოწყობის სამუშაოები</t>
  </si>
  <si>
    <t xml:space="preserve"> სოფ. მზისგულში არსებული ჭაბურღილის სრულფასოვანი ფუნქციონირებისათვის ელ.აღრიცხვის  კვანძის 10კვტ-დან 30 კვტ-მდე გაზრდის ხარჯი</t>
  </si>
  <si>
    <t>მუნიციპალიტეტის ბალანსზე არსებული ვიდეოსათვალთვალო კამერების მოვლა-პატრონობის მომსახურების შესყიდვა</t>
  </si>
  <si>
    <t>სოფელ გიორგიწმინდაში ჭაბურღილების, შემკრები რეზერვუარების და სატუმბი სადგურის მოწყობის სამუშაოები განკ#2685, 31.12.2020-69.14271; #75 17.01.-225.70006</t>
  </si>
  <si>
    <t>საგარეჯოს მუნიციპალიტეტის ქუჩის გარე განათების ტექნიკური მომსახურების შესყიდვა</t>
  </si>
  <si>
    <t>ქ.საგარეჯოში ერეკლე მეორის ქ.N74-ში მდებარე მრავ. საცხ სახლის სახურავის სარეაბილიტაციო  სამუშაოების  სახარჯთაღრიცხვო  დოკუმენტაციის  შედგენის  მომსახურება</t>
  </si>
  <si>
    <t>ქ.საგარეჯოში მცხოვრები, მოქ. მაია მარტიაშვილის სახლის სახურავის შეცვლა განკ. N330 11.03.2021</t>
  </si>
  <si>
    <t>სტიქიით  დაზიანებული  ქ.საგარეჯოში კახეთის გზ#10-ში მდე მრავალბ. საცხოვრებელი სახლის სახურავის  და უჯარმაში მდებარე მრავალბინიანი საცხოვრებელი სახლის სახურავის რეაბილიტაციის  საპროექტო დოკუმენტების  შედგენა მთავრ. განკ N604</t>
  </si>
  <si>
    <t>2021წ.გადახდ134.84820, ადგ6.8032, სახ128.045, 2022წ.ვალდ.614.59342,ადგ102.71042, სახ.511.883</t>
  </si>
  <si>
    <t>საბავშო ბაღების რეაბილიტაცისათვის საპროექტო სახარჯთაღრიცხვო დოკუმენტაციის შედგენის მომსახურება</t>
  </si>
  <si>
    <t xml:space="preserve"> სტიქიის შედეგად   დაზიანებული თოხლიაურის ბაღის სახურავის  რეაბილიტაციის  საპროექტო-სახარჯთაღრიცხვო  დოკუმენტაციის  შედგენა განკ. N604 5.04.2022</t>
  </si>
  <si>
    <t> სოფელ მანავში სკოლამდელი აღსაზრდელების ტურის უბნიდან და ზემო უბნიდან (ზემო მანავიდან) მანავის N1 საბავშვო ბაღში ტარნსპორტირების მომსახურების შესყიდვა.</t>
  </si>
  <si>
    <t>01,04,-30.06.2022</t>
  </si>
  <si>
    <t>შემოსავალი ხელშეკრულების პირობების დარღვევის გამო დაკისრებული პირგასამტეხლოდან(შ.პ.ს "რაზმაძე და კომპანია"   ს/კ 231251383)ქ. საგარეჯოს #2 სკოლამდელი აღზრდის დაწესებულების რეაბილიტაციის სამუშაოები</t>
  </si>
  <si>
    <t xml:space="preserve">2021 წელს გადარიცხულია 57.185 ლ, </t>
  </si>
  <si>
    <t>15.03.2021-14.05.2021</t>
  </si>
  <si>
    <t>14,09,-16.11.2021</t>
  </si>
  <si>
    <t xml:space="preserve">2021 წელს გადარიცხულია 11.091 ლ, </t>
  </si>
  <si>
    <t xml:space="preserve">სსიპ - ლევან სამხარაულის სახელობის სასამართლო </t>
  </si>
  <si>
    <t>16,05,-30.09.2022</t>
  </si>
  <si>
    <t>25,01,-31.12.2021</t>
  </si>
  <si>
    <t xml:space="preserve"> სოფელ ნინოწმინდაში მინი სტადონის მოწყობის სამუშაოების შესყიდვა.</t>
  </si>
  <si>
    <t xml:space="preserve"> ინფრასტრუქტურული პროექტების საპროექტო და სამშენებლო სამუშაოების საზედამხედველო მომსახურება</t>
  </si>
  <si>
    <t>06,05-31.07,2022</t>
  </si>
  <si>
    <t xml:space="preserve"> ააიპ #105 კომპლექსური  სასპორტო  სკოლის საცურაო  აუზების შეკეთების  სამუშაოები</t>
  </si>
  <si>
    <t xml:space="preserve">ერთიანი ანგარიში; </t>
  </si>
  <si>
    <t xml:space="preserve"> სოფელ უჯარმაში ხევზე გადასასვლელი ხიდის მოწყობის სამუშაოები #330 11.03.2021</t>
  </si>
  <si>
    <t xml:space="preserve"> ქალაქ საგარეჯოში მშვიდობის ქუჩის მოასფალტების სამუშაოები.განკ#2685, 31.12.2020-19.26870; N75 17.01.2022-449.56394</t>
  </si>
  <si>
    <t xml:space="preserve"> ქალაქ საგარეჯოში ბარნოვის, რობაქიძესა და 9 ძმის ქუჩების მოასფალტების სამუშაოები.განკ#2685, 31.12.2020-9.97277; N75 17.01.2022-264.54112</t>
  </si>
  <si>
    <t xml:space="preserve"> ქალაქ საგარეჯოში ფალიაშვილის ქუჩის მოასფალტების სამუშაოები განკ#2685, 31.12.2020-9.14051;  N75 17.01.2022-80.64617</t>
  </si>
  <si>
    <t xml:space="preserve"> სოფელ თულარი-კაზლარის ცენტრალურ  დამაკავშირებელ გზაზე ა/საფარის მოწყობა განკ#2685, 31.12.2020-17.42409; #75 17.01.2022-210.900;</t>
  </si>
  <si>
    <t>მარიამჯვრის სახელმწიფო ნაკრძალის ხელმ გაზრდა მისასვლელი  გზის რეაბილიტაცია  და შეს.  #1419 16.08.2021ინფრასტრუქტურის  მოწყობა</t>
  </si>
  <si>
    <t>შპს როუდ სოლუშენს-ერთიანი ანგარიში</t>
  </si>
  <si>
    <t xml:space="preserve"> ქ. საგარეჯოში, კახეთის გზატკეცილი N7-ში მდებარე კორპუსების ეზოს მოასფალტება - კეთილმოწყობისა და ლესელიძისა და თამარ მეფის ქუჩაზე კორპუსების ეზოების მოასფალტების სამუშაოების შესყიდვა</t>
  </si>
  <si>
    <t xml:space="preserve"> ქ. საგარეჯოში ქვლივიძის ქუჩის მოასფალტების სამუშაოების შესყიდვა  #75 17.01.2022</t>
  </si>
  <si>
    <t xml:space="preserve"> ქ. საგარეჯოში მე-11, მე-13 და მე-14 ქუჩების მოასფალტების სამუშაოების შესყიდვა.</t>
  </si>
  <si>
    <t xml:space="preserve"> სოფელ კაკაბეთში მეორე სკოლამდელი აღზრდის დაწესებულებასთან მისასვლელი ქუჩის მოასფალტების სამუშაოების შესყიდვა.</t>
  </si>
  <si>
    <t xml:space="preserve"> ქ. საგარეჯოში წიფლისხევის ქუჩის მოასფალტების სამუშაოების შესყიდვა</t>
  </si>
  <si>
    <t xml:space="preserve"> სხვადასხვა სახის ინფრასტრუქტურის სამშენებლო-სარეაბილიტაციო სამუშაოებისათვის საპროექტო-სახარჯთაღრიცხვო დოკუმენტაციის შედგენის მომსახურების შესყიდვა.</t>
  </si>
  <si>
    <t xml:space="preserve">სხვადასხვა სახის ინფრასტრუქტურის სამშენებლო -სარეაბილიტაციო სამუშაოებისათვის საჭირო საპროექტო-სახარჯთაღრიცხვო დოკუმენტაციის მომსახურება </t>
  </si>
  <si>
    <t>ერთიანი ანგარიში</t>
  </si>
  <si>
    <t>სოფ. შიბლიანში არსებული ჭაბურღილის ფუნქციონირებისათვის ახალი ელ. აღრიცხვის კვანძის მოწყობის ხარჯი</t>
  </si>
  <si>
    <t xml:space="preserve">  სოფ. გ.წმინდის წყალმომომარაგების სამუშაოებისათვის ელენერგ.ხაზების განთავსების ნებართვის საფასური 'საქართველოს რკინიგზის" საკუთრებაში არსებულ მიწის ნაკვეთებზე(წერილობითი შეტყობინება N1740;21.04.2022)</t>
  </si>
  <si>
    <t>გიორგიწმინდაში,რუსთაველისქ# 178  საცხოვრებელი სახლის  რეაბილიტაციის საპროექტო- სახარჯთაღრიცხვო  დოკუმენტების  შედგენის  მომსახურება</t>
  </si>
  <si>
    <t xml:space="preserve"> ქ. საგარეჯოში, კახეთის გზატკეცილი N10-ში მდებარე მრავალბინიანი საცხოვრებელი სახლის სახურავის, სოფელ თოხლიაურში საბავშვო ბაღის სახურავის, საგარეჯოს მუნიციპალიტეტის სოფელ ხაშმში ადმინისტრაციული შენობის სახურავის, სოფელ უჯარმაში მრავალბინიანი საცხოვრებელი სახლის სახურავის გადახურვის/მოწყობისა და სოფელ უჯარმაში ადმინისტრაციული შენობის სახურავის სარეაბილიტაციო სამუშაოების შესყიდვა.</t>
  </si>
  <si>
    <t xml:space="preserve"> სხვადასხვა სახის ინფრასტრუქტურის სამშენებლო-სარეაბილიტაციო სამუშაოებისათვის საჭირო საპროექტო-სახარჯთაღრიცხვო დოკუმენტაციის შედგენის მომსახურების შესყიდვა.</t>
  </si>
  <si>
    <t xml:space="preserve">საგარეჯოს მუნიციპალიტეტის სოფლებსა (სოფელ გიორგიწმინდის ცენტრალური ქუჩებიდან, სოფელ ნინოწმინდის ცენტრალური ქუჩებიდან, სოფელ წყაროსთავის ცენტრალური ქუჩებიდან, სოფელ პატარძეულის ცენტრალური ქუჩებიდან, სოფელ თოხლიაურის ცენტრალური ქუჩებიდან, სოფელ მანავის ცენტრალური ქუჩებიდან, სოფელ ხაშმიდან სოფელ შიბლიანამდე ქ. საგარეჯოსა და სოფლების გადასახვევების და მიმდებარე ტერიტორიებიდან საყოფაცხოვრებო ნარჩენების შეგროვება-გატანა (საგარეჯოს ნაგავსაყრელზე)) და ქ. საგარეჯოს ქუჩებში მუნიციპალიტეტის მიერ განთავსებული ნაგავშემკრები კონტეინერებიდან საყოფაცხოვრებო ნარჩენების გატანა – მომსახურების სახელმწიფო შესყიდვა </t>
  </si>
  <si>
    <t>სოფ.გიორგიწმინდის სპორტული დარბაზის დაზიანებული სახურავის რეაბილიტაციის სამშ. საპროექტო სახარჯ. დოკუმ. შედგ. ღირებულება</t>
  </si>
  <si>
    <t>ს/ მანავში სპორტული მოედნის საპროექტო სახარჯთაღრიცხვო დოკუმენტაციის შედგენის მომსახურება</t>
  </si>
  <si>
    <r>
      <rPr>
        <sz val="8"/>
        <rFont val="Times New Roman"/>
        <family val="1"/>
        <charset val="204"/>
      </rPr>
      <t xml:space="preserve"> </t>
    </r>
    <r>
      <rPr>
        <sz val="8"/>
        <rFont val="Sylfaen"/>
        <family val="1"/>
        <charset val="204"/>
      </rPr>
      <t>სოფელ</t>
    </r>
    <r>
      <rPr>
        <sz val="8"/>
        <rFont val="Times New Roman"/>
        <family val="1"/>
        <charset val="204"/>
      </rPr>
      <t xml:space="preserve"> </t>
    </r>
    <r>
      <rPr>
        <sz val="8"/>
        <rFont val="Sylfaen"/>
        <family val="1"/>
        <charset val="204"/>
      </rPr>
      <t>თოხლიაურში</t>
    </r>
    <r>
      <rPr>
        <sz val="8"/>
        <rFont val="Times New Roman"/>
        <family val="1"/>
        <charset val="204"/>
      </rPr>
      <t xml:space="preserve"> </t>
    </r>
    <r>
      <rPr>
        <sz val="8"/>
        <rFont val="Sylfaen"/>
        <family val="1"/>
        <charset val="204"/>
      </rPr>
      <t>მინი</t>
    </r>
    <r>
      <rPr>
        <sz val="8"/>
        <rFont val="Times New Roman"/>
        <family val="1"/>
        <charset val="204"/>
      </rPr>
      <t xml:space="preserve"> </t>
    </r>
    <r>
      <rPr>
        <sz val="8"/>
        <rFont val="Sylfaen"/>
        <family val="1"/>
        <charset val="204"/>
      </rPr>
      <t>სტადიონის</t>
    </r>
    <r>
      <rPr>
        <sz val="8"/>
        <rFont val="Times New Roman"/>
        <family val="1"/>
        <charset val="204"/>
      </rPr>
      <t xml:space="preserve"> </t>
    </r>
    <r>
      <rPr>
        <sz val="8"/>
        <rFont val="Sylfaen"/>
        <family val="1"/>
        <charset val="204"/>
      </rPr>
      <t>საყრდენი</t>
    </r>
    <r>
      <rPr>
        <sz val="8"/>
        <rFont val="Times New Roman"/>
        <family val="1"/>
        <charset val="204"/>
      </rPr>
      <t xml:space="preserve"> </t>
    </r>
    <r>
      <rPr>
        <sz val="8"/>
        <rFont val="Sylfaen"/>
        <family val="1"/>
        <charset val="204"/>
      </rPr>
      <t>კედლის</t>
    </r>
    <r>
      <rPr>
        <sz val="8"/>
        <rFont val="Times New Roman"/>
        <family val="1"/>
        <charset val="204"/>
      </rPr>
      <t xml:space="preserve"> </t>
    </r>
    <r>
      <rPr>
        <sz val="8"/>
        <rFont val="Sylfaen"/>
        <family val="1"/>
        <charset val="204"/>
      </rPr>
      <t>მოწყობისა</t>
    </r>
    <r>
      <rPr>
        <sz val="8"/>
        <rFont val="Times New Roman"/>
        <family val="1"/>
        <charset val="204"/>
      </rPr>
      <t xml:space="preserve"> </t>
    </r>
    <r>
      <rPr>
        <sz val="8"/>
        <rFont val="Sylfaen"/>
        <family val="1"/>
        <charset val="204"/>
      </rPr>
      <t>და</t>
    </r>
    <r>
      <rPr>
        <sz val="8"/>
        <rFont val="Times New Roman"/>
        <family val="1"/>
        <charset val="204"/>
      </rPr>
      <t xml:space="preserve"> </t>
    </r>
    <r>
      <rPr>
        <sz val="8"/>
        <rFont val="Sylfaen"/>
        <family val="1"/>
        <charset val="204"/>
      </rPr>
      <t>ქ</t>
    </r>
    <r>
      <rPr>
        <sz val="8"/>
        <rFont val="Times New Roman"/>
        <family val="1"/>
        <charset val="204"/>
      </rPr>
      <t xml:space="preserve">. </t>
    </r>
    <r>
      <rPr>
        <sz val="8"/>
        <rFont val="Sylfaen"/>
        <family val="1"/>
        <charset val="204"/>
      </rPr>
      <t>საგარეჯოში</t>
    </r>
    <r>
      <rPr>
        <sz val="8"/>
        <rFont val="Times New Roman"/>
        <family val="1"/>
        <charset val="204"/>
      </rPr>
      <t xml:space="preserve"> </t>
    </r>
    <r>
      <rPr>
        <sz val="8"/>
        <rFont val="Sylfaen"/>
        <family val="1"/>
        <charset val="204"/>
      </rPr>
      <t>ჩოლოყაშვილის</t>
    </r>
    <r>
      <rPr>
        <sz val="8"/>
        <rFont val="Times New Roman"/>
        <family val="1"/>
        <charset val="204"/>
      </rPr>
      <t xml:space="preserve"> </t>
    </r>
    <r>
      <rPr>
        <sz val="8"/>
        <rFont val="Sylfaen"/>
        <family val="1"/>
        <charset val="204"/>
      </rPr>
      <t>ქუჩაზე</t>
    </r>
    <r>
      <rPr>
        <sz val="8"/>
        <rFont val="Times New Roman"/>
        <family val="1"/>
        <charset val="204"/>
      </rPr>
      <t xml:space="preserve"> </t>
    </r>
    <r>
      <rPr>
        <sz val="8"/>
        <rFont val="Sylfaen"/>
        <family val="1"/>
        <charset val="204"/>
      </rPr>
      <t>სანიაღვრე</t>
    </r>
    <r>
      <rPr>
        <sz val="8"/>
        <rFont val="Times New Roman"/>
        <family val="1"/>
        <charset val="204"/>
      </rPr>
      <t xml:space="preserve"> </t>
    </r>
    <r>
      <rPr>
        <sz val="8"/>
        <rFont val="Sylfaen"/>
        <family val="1"/>
        <charset val="204"/>
      </rPr>
      <t>არხის</t>
    </r>
    <r>
      <rPr>
        <sz val="8"/>
        <rFont val="Times New Roman"/>
        <family val="1"/>
        <charset val="204"/>
      </rPr>
      <t xml:space="preserve"> </t>
    </r>
    <r>
      <rPr>
        <sz val="8"/>
        <rFont val="Sylfaen"/>
        <family val="1"/>
        <charset val="204"/>
      </rPr>
      <t>მოწყობის</t>
    </r>
    <r>
      <rPr>
        <sz val="8"/>
        <rFont val="Times New Roman"/>
        <family val="1"/>
        <charset val="204"/>
      </rPr>
      <t xml:space="preserve"> </t>
    </r>
    <r>
      <rPr>
        <sz val="8"/>
        <rFont val="Sylfaen"/>
        <family val="1"/>
        <charset val="204"/>
      </rPr>
      <t>სამუშაოები</t>
    </r>
    <r>
      <rPr>
        <sz val="8"/>
        <rFont val="Times New Roman"/>
        <family val="1"/>
        <charset val="204"/>
      </rPr>
      <t xml:space="preserve">. </t>
    </r>
  </si>
  <si>
    <t>საჯარო სკოლების მოსწავლეთა სატრანსპორტო მომსახურების სახელმწიფო შესყიდვა
 განკ N51 14.01.2022</t>
  </si>
  <si>
    <t>საჯარო სკოლების მოსწავლეთა სატრანსპორტო მომსახურების სახელმწიფო შესყიდვა
მთავრ. განკ 51 14.01.2022</t>
  </si>
  <si>
    <t>2021 წელს გადახდილია 21.33229ლ, ხელშეკრ.შეწყვეტილია შეთანხმების ოქმი#2 31.12.2021</t>
  </si>
  <si>
    <t>2020-2021 წ.გადახდ. 574.64349, მ.შ. ადგ.28.73227ლ, სახ.545.91122ლ</t>
  </si>
  <si>
    <t>ხელშეკრულებით გათვალისწინებული  შესრულებული სამუშაოს % მ.წ.1.07.-თვის</t>
  </si>
  <si>
    <t xml:space="preserve">2021 წ.გადახდ.7.99145ლ </t>
  </si>
  <si>
    <t xml:space="preserve"> სოფ.წყაროსთავის სკოლამდელი  აღზრდის  დაწესებ. გაფართოვების (ორი ოთახის მიშენება) სამუშაოები</t>
  </si>
  <si>
    <t xml:space="preserve"> ლარში</t>
  </si>
  <si>
    <t>საგარეჯოს მუნიციპაალიტეტის 2022 წლის ბიუჯეტის ორი კვარტლით   გათვალისწინებული ინფრასტრუქტურულ პროგრამაში გათვალისწინებული პროცედურების შესახებ</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</si>
</sst>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quot;Lari&quot;_-;\-* #,##0.00\ &quot;Lari&quot;_-;_-* &quot;-&quot;??\ &quot;Lari&quot;_-;_-@_-"/>
    <numFmt numFmtId="165" formatCode="_-* #,##0.00\ _L_a_r_i_-;\-* #,##0.00\ _L_a_r_i_-;_-* &quot;-&quot;??\ _L_a_r_i_-;_-@_-"/>
    <numFmt numFmtId="166" formatCode="0.0"/>
    <numFmt numFmtId="167" formatCode="0.00000"/>
    <numFmt numFmtId="168" formatCode="0.000"/>
  </numFmts>
  <fonts count="46" x14ac:knownFonts="1">
    <font>
      <sz val="11"/>
      <color theme="1"/>
      <name val="Calibri"/>
      <family val="2"/>
      <charset val="1"/>
      <scheme val="minor"/>
    </font>
    <font>
      <sz val="11"/>
      <color theme="1"/>
      <name val="Calibri"/>
      <family val="2"/>
      <scheme val="minor"/>
    </font>
    <font>
      <sz val="11"/>
      <color indexed="8"/>
      <name val="Calibri"/>
      <family val="2"/>
    </font>
    <font>
      <sz val="8"/>
      <color indexed="8"/>
      <name val="Calibri"/>
      <family val="2"/>
    </font>
    <font>
      <sz val="9"/>
      <color indexed="8"/>
      <name val="Calibri"/>
      <family val="2"/>
    </font>
    <font>
      <sz val="10"/>
      <name val="Arial"/>
      <family val="2"/>
      <charset val="204"/>
    </font>
    <font>
      <sz val="8"/>
      <color indexed="8"/>
      <name val="Sylfaen"/>
      <family val="1"/>
      <charset val="204"/>
    </font>
    <font>
      <b/>
      <sz val="8"/>
      <color indexed="8"/>
      <name val="Sylfaen"/>
      <family val="1"/>
      <charset val="204"/>
    </font>
    <font>
      <sz val="10"/>
      <color indexed="8"/>
      <name val="LitNusx"/>
    </font>
    <font>
      <sz val="8"/>
      <color indexed="8"/>
      <name val="LitNusx"/>
    </font>
    <font>
      <b/>
      <sz val="9"/>
      <color indexed="8"/>
      <name val="Sylfaen"/>
      <family val="1"/>
      <charset val="204"/>
    </font>
    <font>
      <sz val="10"/>
      <name val="LitNusx"/>
    </font>
    <font>
      <sz val="10"/>
      <name val="Arial"/>
      <family val="2"/>
    </font>
    <font>
      <sz val="9"/>
      <color indexed="8"/>
      <name val="Sylfaen"/>
      <family val="1"/>
      <charset val="204"/>
    </font>
    <font>
      <sz val="8"/>
      <name val="AcadNusx"/>
    </font>
    <font>
      <sz val="8"/>
      <name val="Sylfaen"/>
      <family val="1"/>
      <charset val="204"/>
    </font>
    <font>
      <sz val="8"/>
      <name val="Calibri"/>
      <family val="2"/>
      <charset val="204"/>
    </font>
    <font>
      <b/>
      <sz val="8"/>
      <name val="Sylfaen"/>
      <family val="1"/>
      <charset val="204"/>
    </font>
    <font>
      <sz val="9"/>
      <name val="Sylfaen"/>
      <family val="1"/>
      <charset val="204"/>
    </font>
    <font>
      <sz val="7"/>
      <name val="Calibri"/>
      <family val="2"/>
    </font>
    <font>
      <sz val="11"/>
      <color theme="1"/>
      <name val="Calibri"/>
      <family val="2"/>
      <scheme val="minor"/>
    </font>
    <font>
      <sz val="8"/>
      <color rgb="FF000000"/>
      <name val="Sylfaen"/>
      <family val="1"/>
      <charset val="204"/>
    </font>
    <font>
      <sz val="9"/>
      <color rgb="FF000000"/>
      <name val="Sylfaen"/>
      <family val="1"/>
      <charset val="204"/>
    </font>
    <font>
      <sz val="8"/>
      <color theme="1"/>
      <name val="Calibri"/>
      <family val="2"/>
      <scheme val="minor"/>
    </font>
    <font>
      <sz val="8"/>
      <color theme="1"/>
      <name val="Sylfaen"/>
      <family val="1"/>
      <charset val="204"/>
    </font>
    <font>
      <sz val="9"/>
      <color theme="1"/>
      <name val="Sylfaen"/>
      <family val="1"/>
      <charset val="204"/>
    </font>
    <font>
      <b/>
      <sz val="8"/>
      <color theme="1"/>
      <name val="Sylfaen"/>
      <family val="1"/>
      <charset val="204"/>
    </font>
    <font>
      <sz val="8"/>
      <color theme="1"/>
      <name val="Sylfaen"/>
      <family val="1"/>
    </font>
    <font>
      <sz val="9"/>
      <color rgb="FFFF0000"/>
      <name val="Sylfaen"/>
      <family val="1"/>
      <charset val="204"/>
    </font>
    <font>
      <sz val="8"/>
      <color rgb="FF000000"/>
      <name val="Calibri"/>
      <family val="2"/>
      <charset val="204"/>
      <scheme val="minor"/>
    </font>
    <font>
      <b/>
      <sz val="8"/>
      <color rgb="FF000000"/>
      <name val="Sylfaen"/>
      <family val="1"/>
      <charset val="204"/>
    </font>
    <font>
      <b/>
      <sz val="8"/>
      <color theme="1"/>
      <name val="Calibri"/>
      <family val="2"/>
      <scheme val="minor"/>
    </font>
    <font>
      <sz val="8"/>
      <color rgb="FF222222"/>
      <name val="Sylfaen"/>
      <family val="1"/>
      <charset val="204"/>
    </font>
    <font>
      <b/>
      <sz val="8"/>
      <color rgb="FF222222"/>
      <name val="Sylfaen"/>
      <family val="1"/>
      <charset val="204"/>
    </font>
    <font>
      <b/>
      <sz val="9"/>
      <color rgb="FF363636"/>
      <name val="Sylfaen"/>
      <family val="1"/>
      <charset val="204"/>
    </font>
    <font>
      <sz val="9"/>
      <color rgb="FF363636"/>
      <name val="Sylfaen"/>
      <family val="1"/>
      <charset val="204"/>
    </font>
    <font>
      <sz val="9"/>
      <color theme="1"/>
      <name val="Sylfaen"/>
      <family val="1"/>
    </font>
    <font>
      <sz val="8"/>
      <color theme="1"/>
      <name val="Calibri"/>
      <family val="2"/>
      <charset val="1"/>
      <scheme val="minor"/>
    </font>
    <font>
      <sz val="8"/>
      <color rgb="FF000000"/>
      <name val="Sylfaen"/>
      <family val="1"/>
      <charset val="204"/>
    </font>
    <font>
      <sz val="8"/>
      <name val="Sylfaen"/>
      <family val="1"/>
    </font>
    <font>
      <sz val="8"/>
      <color rgb="FF222222"/>
      <name val="Verdana"/>
      <family val="2"/>
      <charset val="204"/>
    </font>
    <font>
      <b/>
      <sz val="11"/>
      <color theme="1"/>
      <name val="Calibri"/>
      <family val="2"/>
      <charset val="204"/>
      <scheme val="minor"/>
    </font>
    <font>
      <sz val="8"/>
      <color rgb="FF363636"/>
      <name val="Verdana"/>
      <family val="2"/>
      <charset val="204"/>
    </font>
    <font>
      <sz val="8"/>
      <color indexed="8"/>
      <name val="AcadNusx"/>
    </font>
    <font>
      <sz val="8"/>
      <name val="Times New Roman"/>
      <family val="1"/>
      <charset val="204"/>
    </font>
    <font>
      <sz val="8"/>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1">
    <xf numFmtId="0" fontId="0" fillId="0" borderId="0"/>
    <xf numFmtId="0" fontId="2" fillId="0" borderId="0"/>
    <xf numFmtId="165" fontId="2" fillId="0" borderId="0" applyFont="0" applyFill="0" applyBorder="0" applyAlignment="0" applyProtection="0"/>
    <xf numFmtId="0" fontId="5" fillId="0" borderId="0"/>
    <xf numFmtId="0" fontId="12" fillId="0" borderId="0"/>
    <xf numFmtId="0" fontId="2" fillId="0" borderId="0"/>
    <xf numFmtId="0" fontId="20" fillId="0" borderId="0"/>
    <xf numFmtId="164" fontId="2" fillId="0" borderId="0" applyFont="0" applyFill="0" applyBorder="0" applyAlignment="0" applyProtection="0"/>
    <xf numFmtId="0" fontId="2" fillId="0" borderId="0"/>
    <xf numFmtId="0" fontId="2" fillId="0" borderId="0"/>
    <xf numFmtId="0" fontId="1" fillId="0" borderId="0"/>
  </cellStyleXfs>
  <cellXfs count="197">
    <xf numFmtId="0" fontId="0" fillId="0" borderId="0" xfId="0"/>
    <xf numFmtId="0" fontId="23" fillId="2" borderId="1" xfId="5" applyFont="1" applyFill="1" applyBorder="1" applyAlignment="1">
      <alignment wrapText="1"/>
    </xf>
    <xf numFmtId="0" fontId="15" fillId="2" borderId="1" xfId="8" applyFont="1" applyFill="1" applyBorder="1" applyAlignment="1">
      <alignment horizontal="center" vertical="center" wrapText="1"/>
    </xf>
    <xf numFmtId="0" fontId="25" fillId="2" borderId="1" xfId="5" applyFont="1" applyFill="1" applyBorder="1" applyAlignment="1">
      <alignment wrapText="1"/>
    </xf>
    <xf numFmtId="0" fontId="23" fillId="2" borderId="1" xfId="6" applyFont="1" applyFill="1" applyBorder="1" applyAlignment="1">
      <alignment wrapText="1"/>
    </xf>
    <xf numFmtId="1" fontId="13" fillId="2" borderId="1" xfId="5" applyNumberFormat="1" applyFont="1" applyFill="1" applyBorder="1" applyAlignment="1">
      <alignment horizontal="center" vertical="center" wrapText="1"/>
    </xf>
    <xf numFmtId="0" fontId="13" fillId="2" borderId="1" xfId="5" applyFont="1" applyFill="1" applyBorder="1" applyAlignment="1">
      <alignment wrapText="1"/>
    </xf>
    <xf numFmtId="0" fontId="13" fillId="2" borderId="1" xfId="5" applyFont="1" applyFill="1" applyBorder="1"/>
    <xf numFmtId="167" fontId="23" fillId="2" borderId="1" xfId="6" applyNumberFormat="1" applyFont="1" applyFill="1" applyBorder="1" applyAlignment="1">
      <alignment wrapText="1"/>
    </xf>
    <xf numFmtId="0" fontId="26" fillId="2" borderId="1" xfId="5" applyFont="1" applyFill="1" applyBorder="1" applyAlignment="1">
      <alignment horizontal="center" vertical="center" wrapText="1"/>
    </xf>
    <xf numFmtId="0" fontId="25" fillId="2" borderId="1" xfId="5" applyFont="1" applyFill="1" applyBorder="1" applyAlignment="1">
      <alignment horizontal="left" vertical="center" wrapText="1"/>
    </xf>
    <xf numFmtId="167" fontId="13" fillId="2" borderId="1" xfId="5" applyNumberFormat="1" applyFont="1" applyFill="1" applyBorder="1"/>
    <xf numFmtId="49" fontId="25" fillId="2" borderId="1" xfId="5" applyNumberFormat="1" applyFont="1" applyFill="1" applyBorder="1" applyAlignment="1">
      <alignment horizontal="center" vertical="center"/>
    </xf>
    <xf numFmtId="16" fontId="23" fillId="2" borderId="1" xfId="6" applyNumberFormat="1" applyFont="1" applyFill="1" applyBorder="1" applyAlignment="1">
      <alignment wrapText="1"/>
    </xf>
    <xf numFmtId="0" fontId="18" fillId="2" borderId="1" xfId="5" applyFont="1" applyFill="1" applyBorder="1" applyAlignment="1">
      <alignment wrapText="1"/>
    </xf>
    <xf numFmtId="0" fontId="13" fillId="2" borderId="1" xfId="5" applyFont="1" applyFill="1" applyBorder="1" applyAlignment="1">
      <alignment horizontal="center" vertical="center" wrapText="1"/>
    </xf>
    <xf numFmtId="0" fontId="6" fillId="2" borderId="1" xfId="5" applyFont="1" applyFill="1" applyBorder="1" applyAlignment="1">
      <alignment horizontal="center" vertical="center" wrapText="1"/>
    </xf>
    <xf numFmtId="0" fontId="24" fillId="2" borderId="1" xfId="5" applyFont="1" applyFill="1" applyBorder="1" applyAlignment="1">
      <alignment horizontal="left" vertical="center" wrapText="1"/>
    </xf>
    <xf numFmtId="0" fontId="21" fillId="2" borderId="1" xfId="6" applyNumberFormat="1" applyFont="1" applyFill="1" applyBorder="1" applyAlignment="1">
      <alignment vertical="top" wrapText="1" readingOrder="1"/>
    </xf>
    <xf numFmtId="0" fontId="27" fillId="2" borderId="1" xfId="6" applyFont="1" applyFill="1" applyBorder="1" applyAlignment="1">
      <alignment horizontal="center" vertical="center" wrapText="1"/>
    </xf>
    <xf numFmtId="14" fontId="25" fillId="2" borderId="1" xfId="5" applyNumberFormat="1" applyFont="1" applyFill="1" applyBorder="1" applyAlignment="1">
      <alignment horizontal="left" vertical="center" wrapText="1"/>
    </xf>
    <xf numFmtId="0" fontId="21" fillId="2" borderId="1" xfId="5" applyNumberFormat="1" applyFont="1" applyFill="1" applyBorder="1" applyAlignment="1">
      <alignment vertical="top" wrapText="1" readingOrder="1"/>
    </xf>
    <xf numFmtId="0" fontId="22" fillId="2" borderId="1" xfId="5" applyNumberFormat="1" applyFont="1" applyFill="1" applyBorder="1" applyAlignment="1">
      <alignment vertical="top" wrapText="1" readingOrder="1"/>
    </xf>
    <xf numFmtId="0" fontId="13" fillId="2" borderId="1" xfId="5" applyFont="1" applyFill="1" applyBorder="1" applyAlignment="1">
      <alignment vertical="center" wrapText="1"/>
    </xf>
    <xf numFmtId="49" fontId="24" fillId="2" borderId="1" xfId="5" applyNumberFormat="1" applyFont="1" applyFill="1" applyBorder="1" applyAlignment="1">
      <alignment horizontal="center" vertical="center" wrapText="1"/>
    </xf>
    <xf numFmtId="0" fontId="25" fillId="2" borderId="1" xfId="5" applyFont="1" applyFill="1" applyBorder="1" applyAlignment="1">
      <alignment horizontal="center" vertical="center" wrapText="1"/>
    </xf>
    <xf numFmtId="0" fontId="21" fillId="2" borderId="1" xfId="5" applyNumberFormat="1" applyFont="1" applyFill="1" applyBorder="1" applyAlignment="1">
      <alignment horizontal="center" vertical="center" wrapText="1" readingOrder="1"/>
    </xf>
    <xf numFmtId="49" fontId="27" fillId="2" borderId="1" xfId="5" applyNumberFormat="1" applyFont="1" applyFill="1" applyBorder="1" applyAlignment="1">
      <alignment horizontal="center" vertical="center" wrapText="1"/>
    </xf>
    <xf numFmtId="14" fontId="24" fillId="2" borderId="1" xfId="5" applyNumberFormat="1" applyFont="1" applyFill="1" applyBorder="1" applyAlignment="1">
      <alignment horizontal="left" vertical="center" wrapText="1"/>
    </xf>
    <xf numFmtId="0" fontId="9" fillId="2" borderId="1" xfId="5" applyFont="1" applyFill="1" applyBorder="1" applyAlignment="1">
      <alignment horizontal="center" vertical="center" wrapText="1"/>
    </xf>
    <xf numFmtId="0" fontId="17" fillId="2" borderId="1" xfId="8" applyFont="1" applyFill="1" applyBorder="1" applyAlignment="1">
      <alignment horizontal="center" vertical="center" wrapText="1"/>
    </xf>
    <xf numFmtId="49" fontId="7" fillId="2" borderId="1" xfId="5" applyNumberFormat="1" applyFont="1" applyFill="1" applyBorder="1" applyAlignment="1">
      <alignment horizontal="center" vertical="center" wrapText="1"/>
    </xf>
    <xf numFmtId="49" fontId="13" fillId="2" borderId="1" xfId="5" applyNumberFormat="1" applyFont="1" applyFill="1" applyBorder="1" applyAlignment="1">
      <alignment horizontal="center" vertical="center" wrapText="1"/>
    </xf>
    <xf numFmtId="0" fontId="21" fillId="2" borderId="1" xfId="6" applyNumberFormat="1" applyFont="1" applyFill="1" applyBorder="1" applyAlignment="1">
      <alignment horizontal="center" vertical="center" wrapText="1" readingOrder="1"/>
    </xf>
    <xf numFmtId="0" fontId="7" fillId="2" borderId="1" xfId="5" applyFont="1" applyFill="1" applyBorder="1" applyAlignment="1">
      <alignment horizontal="center" vertical="center"/>
    </xf>
    <xf numFmtId="0" fontId="7" fillId="2" borderId="1" xfId="5" applyFont="1" applyFill="1" applyBorder="1" applyAlignment="1">
      <alignment horizontal="center" vertical="center" wrapText="1"/>
    </xf>
    <xf numFmtId="167" fontId="28" fillId="2" borderId="1" xfId="5" applyNumberFormat="1" applyFont="1" applyFill="1" applyBorder="1" applyAlignment="1">
      <alignment wrapText="1"/>
    </xf>
    <xf numFmtId="167" fontId="23" fillId="2" borderId="1" xfId="5" applyNumberFormat="1" applyFont="1" applyFill="1" applyBorder="1" applyAlignment="1">
      <alignment wrapText="1"/>
    </xf>
    <xf numFmtId="0" fontId="6" fillId="2" borderId="1" xfId="5" applyFont="1" applyFill="1" applyBorder="1" applyAlignment="1">
      <alignment wrapText="1"/>
    </xf>
    <xf numFmtId="49" fontId="24" fillId="2" borderId="1" xfId="5" applyNumberFormat="1" applyFont="1" applyFill="1" applyBorder="1" applyAlignment="1">
      <alignment horizontal="center" vertical="center"/>
    </xf>
    <xf numFmtId="0" fontId="24" fillId="2" borderId="1" xfId="6" applyFont="1" applyFill="1" applyBorder="1" applyAlignment="1">
      <alignment horizontal="center" vertical="center" wrapText="1"/>
    </xf>
    <xf numFmtId="0" fontId="29" fillId="2" borderId="1" xfId="5" applyFont="1" applyFill="1" applyBorder="1" applyAlignment="1">
      <alignment wrapText="1"/>
    </xf>
    <xf numFmtId="0" fontId="10" fillId="2" borderId="1" xfId="5" applyFont="1" applyFill="1" applyBorder="1" applyAlignment="1">
      <alignment wrapText="1"/>
    </xf>
    <xf numFmtId="49" fontId="10" fillId="2" borderId="1" xfId="5" applyNumberFormat="1" applyFont="1" applyFill="1" applyBorder="1" applyAlignment="1">
      <alignment horizontal="center" vertical="center" wrapText="1"/>
    </xf>
    <xf numFmtId="0" fontId="21" fillId="2" borderId="1" xfId="5" applyNumberFormat="1" applyFont="1" applyFill="1" applyBorder="1" applyAlignment="1">
      <alignment vertical="top" wrapText="1"/>
    </xf>
    <xf numFmtId="0" fontId="21" fillId="2" borderId="1" xfId="5" applyFont="1" applyFill="1" applyBorder="1" applyAlignment="1">
      <alignment horizontal="center" vertical="center" wrapText="1"/>
    </xf>
    <xf numFmtId="0" fontId="14" fillId="2" borderId="1" xfId="5" applyFont="1" applyFill="1" applyBorder="1" applyAlignment="1">
      <alignment horizontal="center" vertical="center" wrapText="1"/>
    </xf>
    <xf numFmtId="0" fontId="30" fillId="2" borderId="1" xfId="5" applyFont="1" applyFill="1" applyBorder="1" applyAlignment="1">
      <alignment horizontal="center" vertical="center" wrapText="1"/>
    </xf>
    <xf numFmtId="0" fontId="13" fillId="2" borderId="1" xfId="5" applyFont="1" applyFill="1" applyBorder="1" applyAlignment="1">
      <alignment horizontal="left" vertical="center" wrapText="1"/>
    </xf>
    <xf numFmtId="0" fontId="10" fillId="2" borderId="1" xfId="5" applyFont="1" applyFill="1" applyBorder="1"/>
    <xf numFmtId="0" fontId="31" fillId="2" borderId="1" xfId="6" applyFont="1" applyFill="1" applyBorder="1" applyAlignment="1">
      <alignment wrapText="1"/>
    </xf>
    <xf numFmtId="0" fontId="19" fillId="2" borderId="1" xfId="5" applyFont="1" applyFill="1" applyBorder="1" applyAlignment="1">
      <alignment horizontal="center" vertical="center" wrapText="1"/>
    </xf>
    <xf numFmtId="14" fontId="13" fillId="2" borderId="1" xfId="5" applyNumberFormat="1" applyFont="1" applyFill="1" applyBorder="1" applyAlignment="1">
      <alignment wrapText="1"/>
    </xf>
    <xf numFmtId="0" fontId="32" fillId="2" borderId="1" xfId="5" applyFont="1" applyFill="1" applyBorder="1" applyAlignment="1">
      <alignment horizontal="center" vertical="center" wrapText="1"/>
    </xf>
    <xf numFmtId="14" fontId="18" fillId="2" borderId="1" xfId="8" applyNumberFormat="1" applyFont="1" applyFill="1" applyBorder="1" applyAlignment="1">
      <alignment horizontal="right" wrapText="1"/>
    </xf>
    <xf numFmtId="0" fontId="23" fillId="2" borderId="1" xfId="5" applyFont="1" applyFill="1" applyBorder="1" applyAlignment="1">
      <alignment horizontal="center" vertical="center" wrapText="1"/>
    </xf>
    <xf numFmtId="0" fontId="10" fillId="2" borderId="1" xfId="5" applyFont="1" applyFill="1" applyBorder="1" applyAlignment="1">
      <alignment horizontal="center" vertical="center" wrapText="1"/>
    </xf>
    <xf numFmtId="0" fontId="34" fillId="2" borderId="1" xfId="5" applyFont="1" applyFill="1" applyBorder="1" applyAlignment="1">
      <alignment horizontal="center" vertical="center" wrapText="1"/>
    </xf>
    <xf numFmtId="0" fontId="35" fillId="2" borderId="1" xfId="5" applyFont="1" applyFill="1" applyBorder="1" applyAlignment="1">
      <alignment horizontal="center" vertical="center" wrapText="1"/>
    </xf>
    <xf numFmtId="0" fontId="18" fillId="2" borderId="1" xfId="5" applyFont="1" applyFill="1" applyBorder="1" applyAlignment="1">
      <alignment horizontal="center" vertical="center" wrapText="1"/>
    </xf>
    <xf numFmtId="49" fontId="13" fillId="2" borderId="1" xfId="5" applyNumberFormat="1" applyFont="1" applyFill="1" applyBorder="1" applyAlignment="1">
      <alignment horizontal="center" vertical="center"/>
    </xf>
    <xf numFmtId="0" fontId="21" fillId="2" borderId="1" xfId="5" applyNumberFormat="1" applyFont="1" applyFill="1" applyBorder="1" applyAlignment="1">
      <alignment horizontal="center" vertical="center" wrapText="1"/>
    </xf>
    <xf numFmtId="49" fontId="6" fillId="2" borderId="1" xfId="5" applyNumberFormat="1" applyFont="1" applyFill="1" applyBorder="1" applyAlignment="1">
      <alignment horizontal="center" vertical="center"/>
    </xf>
    <xf numFmtId="14" fontId="25" fillId="2" borderId="1" xfId="5" applyNumberFormat="1" applyFont="1" applyFill="1" applyBorder="1" applyAlignment="1">
      <alignment horizontal="center" vertical="center" wrapText="1"/>
    </xf>
    <xf numFmtId="49" fontId="25" fillId="2" borderId="1" xfId="5" applyNumberFormat="1" applyFont="1" applyFill="1" applyBorder="1" applyAlignment="1">
      <alignment horizontal="center" vertical="center" wrapText="1"/>
    </xf>
    <xf numFmtId="0" fontId="37" fillId="2" borderId="1" xfId="6" applyFont="1" applyFill="1" applyBorder="1" applyAlignment="1">
      <alignment wrapText="1"/>
    </xf>
    <xf numFmtId="49" fontId="13" fillId="2" borderId="1" xfId="5" applyNumberFormat="1" applyFont="1" applyFill="1" applyBorder="1" applyAlignment="1">
      <alignment wrapText="1"/>
    </xf>
    <xf numFmtId="167" fontId="2" fillId="2" borderId="1" xfId="5" applyNumberFormat="1" applyFill="1" applyBorder="1" applyAlignment="1">
      <alignment wrapText="1"/>
    </xf>
    <xf numFmtId="167" fontId="3" fillId="2" borderId="1" xfId="5" applyNumberFormat="1" applyFont="1" applyFill="1" applyBorder="1" applyAlignment="1">
      <alignment wrapText="1"/>
    </xf>
    <xf numFmtId="49" fontId="10" fillId="2" borderId="1" xfId="5" applyNumberFormat="1" applyFont="1" applyFill="1" applyBorder="1" applyAlignment="1">
      <alignment wrapText="1"/>
    </xf>
    <xf numFmtId="167" fontId="10" fillId="2" borderId="1" xfId="5" applyNumberFormat="1" applyFont="1" applyFill="1" applyBorder="1" applyAlignment="1">
      <alignment wrapText="1"/>
    </xf>
    <xf numFmtId="167" fontId="27" fillId="2" borderId="1" xfId="5" applyNumberFormat="1" applyFont="1" applyFill="1" applyBorder="1" applyAlignment="1">
      <alignment horizontal="center" vertical="center" wrapText="1"/>
    </xf>
    <xf numFmtId="167" fontId="13" fillId="2" borderId="1" xfId="5" applyNumberFormat="1" applyFont="1" applyFill="1" applyBorder="1" applyAlignment="1">
      <alignment wrapText="1"/>
    </xf>
    <xf numFmtId="0" fontId="0" fillId="2" borderId="0" xfId="0" applyFill="1"/>
    <xf numFmtId="49" fontId="27" fillId="2" borderId="1" xfId="5" applyNumberFormat="1" applyFont="1" applyFill="1" applyBorder="1" applyAlignment="1">
      <alignment horizontal="left" vertical="center" wrapText="1"/>
    </xf>
    <xf numFmtId="49" fontId="22" fillId="2" borderId="1" xfId="5" applyNumberFormat="1" applyFont="1" applyFill="1" applyBorder="1" applyAlignment="1">
      <alignment horizontal="center" vertical="top" wrapText="1" readingOrder="1"/>
    </xf>
    <xf numFmtId="49" fontId="13" fillId="2" borderId="1" xfId="5" applyNumberFormat="1" applyFont="1" applyFill="1" applyBorder="1" applyAlignment="1">
      <alignment horizontal="center"/>
    </xf>
    <xf numFmtId="49" fontId="21" fillId="2" borderId="1" xfId="6" applyNumberFormat="1" applyFont="1" applyFill="1" applyBorder="1" applyAlignment="1">
      <alignment horizontal="center" vertical="top" wrapText="1" readingOrder="1"/>
    </xf>
    <xf numFmtId="49" fontId="18" fillId="2" borderId="1" xfId="8" applyNumberFormat="1" applyFont="1" applyFill="1" applyBorder="1" applyAlignment="1">
      <alignment horizontal="center" wrapText="1"/>
    </xf>
    <xf numFmtId="49" fontId="25" fillId="2" borderId="1" xfId="5" applyNumberFormat="1" applyFont="1" applyFill="1" applyBorder="1" applyAlignment="1">
      <alignment horizontal="center" wrapText="1"/>
    </xf>
    <xf numFmtId="0" fontId="21" fillId="2" borderId="1" xfId="0" applyNumberFormat="1" applyFont="1" applyFill="1" applyBorder="1" applyAlignment="1">
      <alignment vertical="top" wrapText="1" readingOrder="1"/>
    </xf>
    <xf numFmtId="0" fontId="38" fillId="2" borderId="1" xfId="0" applyNumberFormat="1" applyFont="1" applyFill="1" applyBorder="1" applyAlignment="1">
      <alignment vertical="top" wrapText="1" readingOrder="1"/>
    </xf>
    <xf numFmtId="0" fontId="6" fillId="2" borderId="1" xfId="5" applyFont="1" applyFill="1" applyBorder="1" applyAlignment="1">
      <alignment horizontal="left" vertical="center" wrapText="1"/>
    </xf>
    <xf numFmtId="0" fontId="21" fillId="2" borderId="1" xfId="5" applyNumberFormat="1" applyFont="1" applyFill="1" applyBorder="1" applyAlignment="1">
      <alignment vertical="center" wrapText="1" readingOrder="1"/>
    </xf>
    <xf numFmtId="49" fontId="39" fillId="2" borderId="1" xfId="5" applyNumberFormat="1" applyFont="1" applyFill="1" applyBorder="1" applyAlignment="1">
      <alignment horizontal="center" vertical="center" wrapText="1"/>
    </xf>
    <xf numFmtId="0" fontId="2" fillId="2" borderId="0" xfId="5" applyFill="1"/>
    <xf numFmtId="0" fontId="3" fillId="2" borderId="0" xfId="5" applyFont="1" applyFill="1"/>
    <xf numFmtId="167" fontId="0" fillId="2" borderId="0" xfId="0" applyNumberFormat="1" applyFill="1"/>
    <xf numFmtId="49" fontId="21" fillId="2" borderId="1" xfId="5" applyNumberFormat="1" applyFont="1" applyFill="1" applyBorder="1" applyAlignment="1">
      <alignment horizontal="center" vertical="top" wrapText="1" readingOrder="1"/>
    </xf>
    <xf numFmtId="49" fontId="24" fillId="2" borderId="1" xfId="5" applyNumberFormat="1" applyFont="1" applyFill="1" applyBorder="1" applyAlignment="1">
      <alignment horizontal="left" vertical="center" wrapText="1"/>
    </xf>
    <xf numFmtId="49" fontId="10" fillId="2" borderId="1" xfId="5" applyNumberFormat="1" applyFont="1" applyFill="1" applyBorder="1" applyAlignment="1">
      <alignment horizontal="center"/>
    </xf>
    <xf numFmtId="49" fontId="21" fillId="2" borderId="1" xfId="5" applyNumberFormat="1" applyFont="1" applyFill="1" applyBorder="1" applyAlignment="1">
      <alignment horizontal="center" vertical="center" wrapText="1" readingOrder="1"/>
    </xf>
    <xf numFmtId="49" fontId="18" fillId="2" borderId="1" xfId="5" applyNumberFormat="1" applyFont="1" applyFill="1" applyBorder="1" applyAlignment="1">
      <alignment horizontal="center"/>
    </xf>
    <xf numFmtId="0" fontId="24" fillId="2" borderId="1" xfId="5" applyFont="1" applyFill="1" applyBorder="1" applyAlignment="1">
      <alignment horizontal="center" vertical="center" wrapText="1"/>
    </xf>
    <xf numFmtId="0" fontId="36" fillId="2" borderId="1" xfId="5" applyFont="1" applyFill="1" applyBorder="1" applyAlignment="1">
      <alignment horizontal="center" vertical="center" wrapText="1"/>
    </xf>
    <xf numFmtId="0" fontId="27" fillId="2" borderId="1" xfId="5" applyFont="1" applyFill="1" applyBorder="1" applyAlignment="1">
      <alignment horizontal="center" vertical="center" wrapText="1"/>
    </xf>
    <xf numFmtId="166" fontId="9" fillId="2" borderId="0" xfId="5" applyNumberFormat="1" applyFont="1" applyFill="1" applyAlignment="1">
      <alignment horizontal="center" vertical="center" wrapText="1"/>
    </xf>
    <xf numFmtId="2" fontId="43" fillId="2" borderId="1" xfId="0" applyNumberFormat="1" applyFont="1" applyFill="1" applyBorder="1" applyAlignment="1">
      <alignment horizontal="center" vertical="center" wrapText="1"/>
    </xf>
    <xf numFmtId="0" fontId="24" fillId="2" borderId="1" xfId="5" applyFont="1" applyFill="1" applyBorder="1" applyAlignment="1">
      <alignment horizontal="center" vertical="center" wrapText="1"/>
    </xf>
    <xf numFmtId="167" fontId="45" fillId="2" borderId="1" xfId="6" applyNumberFormat="1" applyFont="1" applyFill="1" applyBorder="1" applyAlignment="1">
      <alignment wrapText="1"/>
    </xf>
    <xf numFmtId="0" fontId="27" fillId="2" borderId="1" xfId="3" applyFont="1" applyFill="1" applyBorder="1" applyAlignment="1">
      <alignment horizontal="center" vertical="center" wrapText="1"/>
    </xf>
    <xf numFmtId="49" fontId="2" fillId="2" borderId="0" xfId="5" applyNumberFormat="1" applyFill="1" applyAlignment="1">
      <alignment horizontal="center"/>
    </xf>
    <xf numFmtId="0" fontId="38" fillId="2" borderId="1" xfId="0" applyNumberFormat="1" applyFont="1" applyFill="1" applyBorder="1" applyAlignment="1">
      <alignment horizontal="center" vertical="center" wrapText="1" readingOrder="1"/>
    </xf>
    <xf numFmtId="167" fontId="41" fillId="2" borderId="0" xfId="0" applyNumberFormat="1" applyFont="1" applyFill="1"/>
    <xf numFmtId="0" fontId="15" fillId="2" borderId="1" xfId="5"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40" fillId="2" borderId="1" xfId="0" applyFont="1" applyFill="1" applyBorder="1" applyAlignment="1">
      <alignment wrapText="1"/>
    </xf>
    <xf numFmtId="0" fontId="42" fillId="2" borderId="1" xfId="0" applyFont="1" applyFill="1" applyBorder="1" applyAlignment="1">
      <alignment wrapText="1"/>
    </xf>
    <xf numFmtId="49" fontId="21" fillId="2" borderId="1" xfId="0" applyNumberFormat="1" applyFont="1" applyFill="1" applyBorder="1" applyAlignment="1">
      <alignment horizontal="center" vertical="top" wrapText="1" readingOrder="1"/>
    </xf>
    <xf numFmtId="0" fontId="15" fillId="2" borderId="1" xfId="5" applyNumberFormat="1" applyFont="1" applyFill="1" applyBorder="1" applyAlignment="1">
      <alignment horizontal="center" vertical="center" wrapText="1" readingOrder="1"/>
    </xf>
    <xf numFmtId="0" fontId="23" fillId="2" borderId="1" xfId="0" applyFont="1" applyFill="1" applyBorder="1" applyAlignment="1">
      <alignment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49" fontId="0" fillId="2" borderId="0" xfId="0" applyNumberFormat="1" applyFill="1" applyAlignment="1">
      <alignment horizontal="center"/>
    </xf>
    <xf numFmtId="49" fontId="24" fillId="2" borderId="1" xfId="5" applyNumberFormat="1" applyFont="1" applyFill="1" applyBorder="1" applyAlignment="1">
      <alignment horizontal="center" vertical="center"/>
    </xf>
    <xf numFmtId="0" fontId="21" fillId="2" borderId="1" xfId="5" applyNumberFormat="1" applyFont="1" applyFill="1" applyBorder="1" applyAlignment="1">
      <alignment horizontal="left" vertical="center" wrapText="1" readingOrder="1"/>
    </xf>
    <xf numFmtId="0" fontId="33" fillId="2" borderId="1" xfId="5" applyFont="1" applyFill="1" applyBorder="1" applyAlignment="1">
      <alignment horizontal="center" vertical="center" wrapText="1"/>
    </xf>
    <xf numFmtId="0" fontId="6" fillId="2" borderId="1" xfId="5" applyFont="1" applyFill="1" applyBorder="1" applyAlignment="1">
      <alignment horizontal="center" vertical="center" wrapText="1"/>
    </xf>
    <xf numFmtId="1" fontId="13" fillId="3" borderId="1" xfId="5" applyNumberFormat="1" applyFont="1" applyFill="1" applyBorder="1" applyAlignment="1">
      <alignment horizontal="center" vertical="center" wrapText="1"/>
    </xf>
    <xf numFmtId="1" fontId="25" fillId="2" borderId="1" xfId="5" applyNumberFormat="1" applyFont="1" applyFill="1" applyBorder="1" applyAlignment="1">
      <alignment horizontal="center" vertical="center" wrapText="1"/>
    </xf>
    <xf numFmtId="0" fontId="38" fillId="2" borderId="1" xfId="0" applyNumberFormat="1" applyFont="1" applyFill="1" applyBorder="1" applyAlignment="1">
      <alignment vertical="center" wrapText="1" readingOrder="1"/>
    </xf>
    <xf numFmtId="0" fontId="21" fillId="2" borderId="1" xfId="6" applyNumberFormat="1" applyFont="1" applyFill="1" applyBorder="1" applyAlignment="1">
      <alignment vertical="center" wrapText="1" readingOrder="1"/>
    </xf>
    <xf numFmtId="0" fontId="21" fillId="2" borderId="1" xfId="5" applyNumberFormat="1" applyFont="1" applyFill="1" applyBorder="1" applyAlignment="1">
      <alignment vertical="top" wrapText="1" readingOrder="1"/>
    </xf>
    <xf numFmtId="0" fontId="32" fillId="2" borderId="1" xfId="5" applyFont="1" applyFill="1" applyBorder="1" applyAlignment="1">
      <alignment horizontal="center" vertical="center" wrapText="1"/>
    </xf>
    <xf numFmtId="0" fontId="25" fillId="2" borderId="1" xfId="5" applyFont="1" applyFill="1" applyBorder="1" applyAlignment="1">
      <alignment wrapText="1"/>
    </xf>
    <xf numFmtId="1" fontId="13" fillId="2" borderId="1" xfId="5" applyNumberFormat="1" applyFont="1" applyFill="1" applyBorder="1" applyAlignment="1">
      <alignment horizontal="center" vertical="center" wrapText="1"/>
    </xf>
    <xf numFmtId="0" fontId="32" fillId="2" borderId="1" xfId="5" applyFont="1" applyFill="1" applyBorder="1" applyAlignment="1">
      <alignment horizontal="center" vertical="center" wrapText="1"/>
    </xf>
    <xf numFmtId="0" fontId="2" fillId="2" borderId="0" xfId="5" applyFill="1"/>
    <xf numFmtId="0" fontId="3" fillId="2" borderId="0" xfId="5" applyFont="1" applyFill="1"/>
    <xf numFmtId="0" fontId="24" fillId="2" borderId="1" xfId="5" applyFont="1" applyFill="1" applyBorder="1" applyAlignment="1">
      <alignment horizontal="center" vertical="center" wrapText="1"/>
    </xf>
    <xf numFmtId="168" fontId="2" fillId="2" borderId="0" xfId="5" applyNumberFormat="1" applyFill="1"/>
    <xf numFmtId="168" fontId="9" fillId="2" borderId="0" xfId="5" applyNumberFormat="1" applyFont="1" applyFill="1" applyAlignment="1">
      <alignment horizontal="center" vertical="center" wrapText="1"/>
    </xf>
    <xf numFmtId="168" fontId="18" fillId="2" borderId="1" xfId="8" applyNumberFormat="1" applyFont="1" applyFill="1" applyBorder="1" applyAlignment="1">
      <alignment horizontal="center" vertical="center" wrapText="1"/>
    </xf>
    <xf numFmtId="168" fontId="13" fillId="2" borderId="1" xfId="5" applyNumberFormat="1" applyFont="1" applyFill="1" applyBorder="1" applyAlignment="1">
      <alignment horizontal="center" vertical="center" wrapText="1"/>
    </xf>
    <xf numFmtId="168" fontId="18" fillId="2" borderId="1" xfId="8" applyNumberFormat="1" applyFont="1" applyFill="1" applyBorder="1" applyAlignment="1">
      <alignment wrapText="1"/>
    </xf>
    <xf numFmtId="168" fontId="25" fillId="2" borderId="1" xfId="5" applyNumberFormat="1" applyFont="1" applyFill="1" applyBorder="1" applyAlignment="1">
      <alignment horizontal="center" vertical="center"/>
    </xf>
    <xf numFmtId="168" fontId="13" fillId="2" borderId="1" xfId="5" applyNumberFormat="1" applyFont="1" applyFill="1" applyBorder="1"/>
    <xf numFmtId="168" fontId="6" fillId="2" borderId="1" xfId="5" applyNumberFormat="1" applyFont="1" applyFill="1" applyBorder="1"/>
    <xf numFmtId="168" fontId="13" fillId="2" borderId="1" xfId="5" applyNumberFormat="1" applyFont="1" applyFill="1" applyBorder="1" applyAlignment="1">
      <alignment horizontal="center" vertical="center"/>
    </xf>
    <xf numFmtId="168" fontId="6" fillId="2" borderId="1" xfId="5" applyNumberFormat="1" applyFont="1" applyFill="1" applyBorder="1" applyAlignment="1">
      <alignment horizontal="center" vertical="center" wrapText="1"/>
    </xf>
    <xf numFmtId="168" fontId="13" fillId="2" borderId="1" xfId="5" applyNumberFormat="1" applyFont="1" applyFill="1" applyBorder="1" applyAlignment="1">
      <alignment wrapText="1"/>
    </xf>
    <xf numFmtId="168" fontId="13" fillId="2" borderId="1" xfId="5" applyNumberFormat="1" applyFont="1" applyFill="1" applyBorder="1" applyAlignment="1">
      <alignment vertical="center" wrapText="1"/>
    </xf>
    <xf numFmtId="168" fontId="27" fillId="2" borderId="1" xfId="6" applyNumberFormat="1" applyFont="1" applyFill="1" applyBorder="1" applyAlignment="1">
      <alignment horizontal="center" vertical="center" wrapText="1"/>
    </xf>
    <xf numFmtId="168" fontId="18" fillId="2" borderId="1" xfId="8" applyNumberFormat="1" applyFont="1" applyFill="1" applyBorder="1"/>
    <xf numFmtId="168" fontId="25" fillId="2" borderId="1" xfId="5" applyNumberFormat="1" applyFont="1" applyFill="1" applyBorder="1" applyAlignment="1">
      <alignment horizontal="center" vertical="center" wrapText="1"/>
    </xf>
    <xf numFmtId="168" fontId="24" fillId="2" borderId="1" xfId="5" applyNumberFormat="1" applyFont="1" applyFill="1" applyBorder="1" applyAlignment="1">
      <alignment horizontal="center" vertical="center"/>
    </xf>
    <xf numFmtId="168" fontId="4" fillId="2" borderId="1" xfId="5" applyNumberFormat="1" applyFont="1" applyFill="1" applyBorder="1"/>
    <xf numFmtId="168" fontId="18" fillId="2" borderId="1" xfId="5" applyNumberFormat="1" applyFont="1" applyFill="1" applyBorder="1"/>
    <xf numFmtId="168" fontId="13" fillId="2" borderId="1" xfId="5" applyNumberFormat="1" applyFont="1" applyFill="1" applyBorder="1" applyAlignment="1">
      <alignment horizontal="left" vertical="center" wrapText="1"/>
    </xf>
    <xf numFmtId="168" fontId="25" fillId="2" borderId="1" xfId="5" applyNumberFormat="1" applyFont="1" applyFill="1" applyBorder="1"/>
    <xf numFmtId="168" fontId="25" fillId="2" borderId="1" xfId="5" applyNumberFormat="1" applyFont="1" applyFill="1" applyBorder="1" applyAlignment="1">
      <alignment horizontal="right" wrapText="1"/>
    </xf>
    <xf numFmtId="168" fontId="18" fillId="2" borderId="1" xfId="8" applyNumberFormat="1" applyFont="1" applyFill="1" applyBorder="1" applyAlignment="1">
      <alignment horizontal="right"/>
    </xf>
    <xf numFmtId="168" fontId="13" fillId="2" borderId="1" xfId="5" applyNumberFormat="1" applyFont="1" applyFill="1" applyBorder="1" applyAlignment="1"/>
    <xf numFmtId="168" fontId="28" fillId="2" borderId="1" xfId="5" applyNumberFormat="1" applyFont="1" applyFill="1" applyBorder="1" applyAlignment="1">
      <alignment horizontal="center" vertical="center"/>
    </xf>
    <xf numFmtId="168" fontId="28" fillId="2" borderId="1" xfId="8" applyNumberFormat="1" applyFont="1" applyFill="1" applyBorder="1" applyAlignment="1">
      <alignment horizontal="center" vertical="center" wrapText="1"/>
    </xf>
    <xf numFmtId="168" fontId="25" fillId="2" borderId="1" xfId="5" applyNumberFormat="1" applyFont="1" applyFill="1" applyBorder="1" applyAlignment="1">
      <alignment horizontal="left" vertical="center" wrapText="1"/>
    </xf>
    <xf numFmtId="168" fontId="38" fillId="0" borderId="4" xfId="0" applyNumberFormat="1" applyFont="1" applyFill="1" applyBorder="1" applyAlignment="1">
      <alignment horizontal="right" vertical="top" wrapText="1" readingOrder="1"/>
    </xf>
    <xf numFmtId="168" fontId="28" fillId="2" borderId="1" xfId="5" applyNumberFormat="1" applyFont="1" applyFill="1" applyBorder="1" applyAlignment="1">
      <alignment horizontal="center" vertical="center" wrapText="1"/>
    </xf>
    <xf numFmtId="168" fontId="37" fillId="2" borderId="1" xfId="6" applyNumberFormat="1" applyFont="1" applyFill="1" applyBorder="1"/>
    <xf numFmtId="168" fontId="0" fillId="2" borderId="0" xfId="0" applyNumberFormat="1" applyFill="1"/>
    <xf numFmtId="1" fontId="13" fillId="2" borderId="3" xfId="5" applyNumberFormat="1" applyFont="1" applyFill="1" applyBorder="1" applyAlignment="1">
      <alignment horizontal="center" vertical="center" wrapText="1"/>
    </xf>
    <xf numFmtId="1" fontId="13" fillId="2" borderId="2" xfId="5" applyNumberFormat="1" applyFont="1" applyFill="1" applyBorder="1" applyAlignment="1">
      <alignment horizontal="center" vertical="center" wrapText="1"/>
    </xf>
    <xf numFmtId="0" fontId="23" fillId="2" borderId="3" xfId="6" applyFont="1" applyFill="1" applyBorder="1" applyAlignment="1">
      <alignment horizontal="center" wrapText="1"/>
    </xf>
    <xf numFmtId="0" fontId="23" fillId="2" borderId="2" xfId="6" applyFont="1" applyFill="1" applyBorder="1" applyAlignment="1">
      <alignment horizontal="center" wrapText="1"/>
    </xf>
    <xf numFmtId="0" fontId="13" fillId="2" borderId="1" xfId="5" applyFont="1" applyFill="1" applyBorder="1" applyAlignment="1">
      <alignment horizontal="center" wrapText="1"/>
    </xf>
    <xf numFmtId="49" fontId="24" fillId="2" borderId="1" xfId="5" applyNumberFormat="1" applyFont="1" applyFill="1" applyBorder="1" applyAlignment="1">
      <alignment horizontal="center" vertical="center"/>
    </xf>
    <xf numFmtId="49" fontId="13" fillId="2" borderId="1" xfId="5" applyNumberFormat="1" applyFont="1" applyFill="1" applyBorder="1" applyAlignment="1">
      <alignment horizontal="center" vertical="center" wrapText="1"/>
    </xf>
    <xf numFmtId="0" fontId="6" fillId="2" borderId="1" xfId="5" applyFont="1" applyFill="1" applyBorder="1" applyAlignment="1">
      <alignment horizontal="center" wrapText="1"/>
    </xf>
    <xf numFmtId="0" fontId="23" fillId="2" borderId="1" xfId="6" applyFont="1" applyFill="1" applyBorder="1" applyAlignment="1">
      <alignment horizontal="center" wrapText="1"/>
    </xf>
    <xf numFmtId="0" fontId="6" fillId="2" borderId="1" xfId="5" applyFont="1" applyFill="1" applyBorder="1" applyAlignment="1">
      <alignment horizontal="center" vertical="center" wrapText="1" readingOrder="1"/>
    </xf>
    <xf numFmtId="0" fontId="24" fillId="2" borderId="1" xfId="5" applyFont="1" applyFill="1" applyBorder="1" applyAlignment="1">
      <alignment horizontal="center" vertical="center" wrapText="1"/>
    </xf>
    <xf numFmtId="0" fontId="29" fillId="2" borderId="1" xfId="5" applyFont="1" applyFill="1" applyBorder="1" applyAlignment="1">
      <alignment horizontal="center" wrapText="1"/>
    </xf>
    <xf numFmtId="0" fontId="21" fillId="2" borderId="1" xfId="6" applyNumberFormat="1" applyFont="1" applyFill="1" applyBorder="1" applyAlignment="1">
      <alignment horizontal="center" vertical="top" wrapText="1" readingOrder="1"/>
    </xf>
    <xf numFmtId="0" fontId="27" fillId="2" borderId="1" xfId="6" applyFont="1" applyFill="1" applyBorder="1" applyAlignment="1">
      <alignment horizontal="center" vertical="center" wrapText="1"/>
    </xf>
    <xf numFmtId="0" fontId="21" fillId="2" borderId="1" xfId="5" applyNumberFormat="1" applyFont="1" applyFill="1" applyBorder="1" applyAlignment="1">
      <alignment horizontal="center" vertical="top" wrapText="1" readingOrder="1"/>
    </xf>
    <xf numFmtId="0" fontId="36" fillId="2" borderId="1" xfId="5" applyFont="1" applyFill="1" applyBorder="1" applyAlignment="1">
      <alignment horizontal="center" vertical="center" wrapText="1"/>
    </xf>
    <xf numFmtId="0" fontId="22" fillId="2" borderId="1" xfId="5" applyNumberFormat="1" applyFont="1" applyFill="1" applyBorder="1" applyAlignment="1">
      <alignment horizontal="center" vertical="top" wrapText="1" readingOrder="1"/>
    </xf>
    <xf numFmtId="0" fontId="38" fillId="2" borderId="1" xfId="0" applyNumberFormat="1" applyFont="1" applyFill="1" applyBorder="1" applyAlignment="1">
      <alignment horizontal="center" vertical="center" wrapText="1" readingOrder="1"/>
    </xf>
    <xf numFmtId="0" fontId="21" fillId="2" borderId="1" xfId="6" applyNumberFormat="1" applyFont="1" applyFill="1" applyBorder="1" applyAlignment="1">
      <alignment horizontal="center" vertical="center" wrapText="1" readingOrder="1"/>
    </xf>
    <xf numFmtId="0" fontId="24" fillId="2" borderId="1" xfId="0" applyFont="1" applyFill="1" applyBorder="1" applyAlignment="1">
      <alignment horizontal="center" vertical="center" wrapText="1"/>
    </xf>
    <xf numFmtId="0" fontId="13" fillId="2" borderId="1" xfId="5" applyFont="1" applyFill="1" applyBorder="1" applyAlignment="1">
      <alignment horizontal="center" vertical="center" wrapText="1"/>
    </xf>
    <xf numFmtId="49" fontId="25" fillId="2" borderId="1" xfId="5" applyNumberFormat="1" applyFont="1" applyFill="1" applyBorder="1" applyAlignment="1">
      <alignment horizontal="center" vertical="center"/>
    </xf>
    <xf numFmtId="49" fontId="6" fillId="2" borderId="1" xfId="5" applyNumberFormat="1" applyFont="1" applyFill="1" applyBorder="1" applyAlignment="1">
      <alignment horizontal="center" vertical="center" wrapText="1"/>
    </xf>
    <xf numFmtId="49" fontId="13" fillId="2" borderId="1" xfId="5" applyNumberFormat="1" applyFont="1" applyFill="1" applyBorder="1" applyAlignment="1">
      <alignment horizontal="center" wrapText="1"/>
    </xf>
    <xf numFmtId="0" fontId="6" fillId="2" borderId="1" xfId="0" applyFont="1" applyFill="1" applyBorder="1" applyAlignment="1">
      <alignment horizontal="center" vertical="center" wrapText="1"/>
    </xf>
    <xf numFmtId="14" fontId="25" fillId="2" borderId="1" xfId="5" applyNumberFormat="1" applyFont="1" applyFill="1" applyBorder="1" applyAlignment="1">
      <alignment horizontal="center" vertical="center" wrapText="1"/>
    </xf>
    <xf numFmtId="0" fontId="8" fillId="2" borderId="0" xfId="8" applyFont="1" applyFill="1" applyBorder="1" applyAlignment="1">
      <alignment horizontal="center" vertical="center" wrapText="1"/>
    </xf>
    <xf numFmtId="0" fontId="27" fillId="2" borderId="1" xfId="5" applyFont="1" applyFill="1" applyBorder="1" applyAlignment="1">
      <alignment horizontal="center" vertical="center" wrapText="1"/>
    </xf>
    <xf numFmtId="49" fontId="13" fillId="2" borderId="1" xfId="5" applyNumberFormat="1" applyFont="1" applyFill="1" applyBorder="1" applyAlignment="1">
      <alignment horizontal="center" vertical="center"/>
    </xf>
    <xf numFmtId="0" fontId="6" fillId="2" borderId="1" xfId="5" applyFont="1" applyFill="1" applyBorder="1" applyAlignment="1">
      <alignment horizontal="center" vertical="center" wrapText="1"/>
    </xf>
    <xf numFmtId="0" fontId="25" fillId="2" borderId="1" xfId="5" applyFont="1" applyFill="1" applyBorder="1" applyAlignment="1">
      <alignment horizontal="center" vertical="center" wrapText="1"/>
    </xf>
    <xf numFmtId="49" fontId="25" fillId="2" borderId="1" xfId="5" applyNumberFormat="1" applyFont="1" applyFill="1" applyBorder="1" applyAlignment="1">
      <alignment horizontal="center" vertical="center" wrapText="1"/>
    </xf>
    <xf numFmtId="166" fontId="9" fillId="2" borderId="0" xfId="5" applyNumberFormat="1" applyFont="1" applyFill="1" applyAlignment="1">
      <alignment horizontal="center" vertical="center" wrapText="1"/>
    </xf>
    <xf numFmtId="0" fontId="9" fillId="2" borderId="1" xfId="5" applyFont="1" applyFill="1" applyBorder="1" applyAlignment="1">
      <alignment horizontal="center" vertical="center" wrapText="1"/>
    </xf>
    <xf numFmtId="0" fontId="18" fillId="2" borderId="1" xfId="5" applyFont="1" applyFill="1" applyBorder="1" applyAlignment="1">
      <alignment horizontal="center" vertical="center" wrapText="1"/>
    </xf>
    <xf numFmtId="166" fontId="11" fillId="2" borderId="0" xfId="8" applyNumberFormat="1" applyFont="1" applyFill="1" applyAlignment="1">
      <alignment horizontal="center" vertical="center" wrapText="1"/>
    </xf>
  </cellXfs>
  <cellStyles count="11">
    <cellStyle name="Comma 2" xfId="2"/>
    <cellStyle name="Normal" xfId="0" builtinId="0"/>
    <cellStyle name="Normal 2" xfId="3"/>
    <cellStyle name="Normal 3" xfId="4"/>
    <cellStyle name="Normal 4" xfId="5"/>
    <cellStyle name="Normal 5" xfId="6"/>
    <cellStyle name="Normal 5 2" xfId="10"/>
    <cellStyle name="Normal 6" xfId="1"/>
    <cellStyle name="Денежный 2" xfId="7"/>
    <cellStyle name="Обычный 2" xfId="8"/>
    <cellStyle name="Обычный 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12"/>
  <sheetViews>
    <sheetView tabSelected="1" topLeftCell="A300" zoomScale="120" zoomScaleNormal="120" workbookViewId="0">
      <selection activeCell="C311" sqref="C311:P312"/>
    </sheetView>
  </sheetViews>
  <sheetFormatPr defaultColWidth="9.140625" defaultRowHeight="15" x14ac:dyDescent="0.25"/>
  <cols>
    <col min="1" max="1" width="1.140625" style="73" customWidth="1"/>
    <col min="2" max="2" width="3.5703125" style="73" customWidth="1"/>
    <col min="3" max="3" width="21" style="73" customWidth="1"/>
    <col min="4" max="6" width="9" style="160"/>
    <col min="7" max="7" width="10.140625" style="160" customWidth="1"/>
    <col min="8" max="8" width="10.85546875" style="160" bestFit="1" customWidth="1"/>
    <col min="9" max="12" width="9" style="160"/>
    <col min="13" max="13" width="5.7109375" style="73" customWidth="1"/>
    <col min="14" max="14" width="6.42578125" style="73" customWidth="1"/>
    <col min="15" max="15" width="7.140625" style="73" customWidth="1"/>
    <col min="16" max="16" width="9" style="114"/>
    <col min="17" max="17" width="6.5703125" style="73" customWidth="1"/>
    <col min="18" max="18" width="9.140625" style="73"/>
    <col min="19" max="19" width="10.5703125" style="73" bestFit="1" customWidth="1"/>
    <col min="20" max="20" width="9.140625" style="73"/>
    <col min="21" max="21" width="10.5703125" style="73" bestFit="1" customWidth="1"/>
    <col min="22" max="22" width="9.140625" style="73"/>
    <col min="23" max="23" width="9.5703125" style="73" bestFit="1" customWidth="1"/>
    <col min="24" max="16384" width="9.140625" style="73"/>
  </cols>
  <sheetData>
    <row r="1" spans="2:18" hidden="1" x14ac:dyDescent="0.25">
      <c r="B1" s="85"/>
      <c r="C1" s="85"/>
      <c r="D1" s="131"/>
      <c r="E1" s="131"/>
      <c r="F1" s="131"/>
      <c r="G1" s="131"/>
      <c r="H1" s="193"/>
      <c r="I1" s="193"/>
      <c r="J1" s="193"/>
      <c r="K1" s="193"/>
      <c r="L1" s="193"/>
      <c r="M1" s="193"/>
      <c r="N1" s="128"/>
      <c r="O1" s="85"/>
      <c r="P1" s="101"/>
      <c r="Q1" s="85"/>
      <c r="R1" s="85"/>
    </row>
    <row r="2" spans="2:18" hidden="1" x14ac:dyDescent="0.25">
      <c r="B2" s="85"/>
      <c r="C2" s="85"/>
      <c r="D2" s="131"/>
      <c r="E2" s="131"/>
      <c r="F2" s="131"/>
      <c r="G2" s="131"/>
      <c r="H2" s="193"/>
      <c r="I2" s="193"/>
      <c r="J2" s="193"/>
      <c r="K2" s="193"/>
      <c r="L2" s="193"/>
      <c r="M2" s="193"/>
      <c r="N2" s="128"/>
      <c r="O2" s="85"/>
      <c r="P2" s="101"/>
      <c r="Q2" s="85"/>
      <c r="R2" s="85"/>
    </row>
    <row r="3" spans="2:18" hidden="1" x14ac:dyDescent="0.25">
      <c r="B3" s="85"/>
      <c r="C3" s="85"/>
      <c r="D3" s="131"/>
      <c r="E3" s="131"/>
      <c r="F3" s="131"/>
      <c r="G3" s="131"/>
      <c r="H3" s="193"/>
      <c r="I3" s="193"/>
      <c r="J3" s="193"/>
      <c r="K3" s="193"/>
      <c r="L3" s="193"/>
      <c r="M3" s="193"/>
      <c r="N3" s="128"/>
      <c r="O3" s="85"/>
      <c r="P3" s="101"/>
      <c r="Q3" s="85"/>
      <c r="R3" s="85"/>
    </row>
    <row r="4" spans="2:18" x14ac:dyDescent="0.25">
      <c r="B4" s="85"/>
      <c r="C4" s="85"/>
      <c r="D4" s="131"/>
      <c r="E4" s="131"/>
      <c r="F4" s="131"/>
      <c r="G4" s="131"/>
      <c r="H4" s="132"/>
      <c r="I4" s="132"/>
      <c r="J4" s="132"/>
      <c r="K4" s="132"/>
      <c r="L4" s="132"/>
      <c r="M4" s="96"/>
      <c r="N4" s="128"/>
      <c r="O4" s="85"/>
      <c r="P4" s="101"/>
      <c r="Q4" s="85"/>
      <c r="R4" s="85"/>
    </row>
    <row r="5" spans="2:18" ht="34.5" customHeight="1" x14ac:dyDescent="0.25">
      <c r="B5" s="85"/>
      <c r="C5" s="196" t="s">
        <v>656</v>
      </c>
      <c r="D5" s="196"/>
      <c r="E5" s="196"/>
      <c r="F5" s="196"/>
      <c r="G5" s="196"/>
      <c r="H5" s="196"/>
      <c r="I5" s="196"/>
      <c r="J5" s="196"/>
      <c r="K5" s="131"/>
      <c r="L5" s="131"/>
      <c r="M5" s="85"/>
      <c r="N5" s="128"/>
      <c r="O5" s="85"/>
      <c r="P5" s="101"/>
      <c r="Q5" s="85"/>
      <c r="R5" s="85"/>
    </row>
    <row r="6" spans="2:18" x14ac:dyDescent="0.25">
      <c r="B6" s="85"/>
      <c r="C6" s="85"/>
      <c r="D6" s="131"/>
      <c r="E6" s="131"/>
      <c r="F6" s="131"/>
      <c r="G6" s="131"/>
      <c r="H6" s="131"/>
      <c r="I6" s="131"/>
      <c r="J6" s="131"/>
      <c r="K6" s="131"/>
      <c r="L6" s="131"/>
      <c r="M6" s="85"/>
      <c r="N6" s="129" t="s">
        <v>655</v>
      </c>
      <c r="O6" s="86"/>
      <c r="P6" s="101"/>
      <c r="Q6" s="85"/>
      <c r="R6" s="85"/>
    </row>
    <row r="7" spans="2:18" ht="191.25" x14ac:dyDescent="0.25">
      <c r="B7" s="56"/>
      <c r="C7" s="2" t="s">
        <v>0</v>
      </c>
      <c r="D7" s="133" t="s">
        <v>451</v>
      </c>
      <c r="E7" s="133" t="s">
        <v>1</v>
      </c>
      <c r="F7" s="133" t="s">
        <v>2</v>
      </c>
      <c r="G7" s="134" t="s">
        <v>3</v>
      </c>
      <c r="H7" s="134" t="s">
        <v>4</v>
      </c>
      <c r="I7" s="135" t="s">
        <v>5</v>
      </c>
      <c r="J7" s="134" t="s">
        <v>6</v>
      </c>
      <c r="K7" s="134" t="s">
        <v>7</v>
      </c>
      <c r="L7" s="134" t="s">
        <v>8</v>
      </c>
      <c r="M7" s="3" t="s">
        <v>452</v>
      </c>
      <c r="N7" s="125" t="s">
        <v>652</v>
      </c>
      <c r="O7" s="3" t="s">
        <v>9</v>
      </c>
      <c r="P7" s="79" t="s">
        <v>10</v>
      </c>
      <c r="Q7" s="3" t="s">
        <v>11</v>
      </c>
      <c r="R7" s="4" t="s">
        <v>12</v>
      </c>
    </row>
    <row r="8" spans="2:18" x14ac:dyDescent="0.25">
      <c r="B8" s="56"/>
      <c r="C8" s="30" t="s">
        <v>530</v>
      </c>
      <c r="D8" s="133"/>
      <c r="E8" s="133"/>
      <c r="F8" s="133"/>
      <c r="G8" s="134"/>
      <c r="H8" s="134"/>
      <c r="I8" s="135"/>
      <c r="J8" s="134"/>
      <c r="K8" s="134"/>
      <c r="L8" s="134"/>
      <c r="M8" s="3"/>
      <c r="N8" s="125"/>
      <c r="O8" s="3"/>
      <c r="P8" s="79"/>
      <c r="Q8" s="3"/>
      <c r="R8" s="4"/>
    </row>
    <row r="9" spans="2:18" ht="63.75" x14ac:dyDescent="0.25">
      <c r="B9" s="56" t="s">
        <v>531</v>
      </c>
      <c r="C9" s="2" t="s">
        <v>533</v>
      </c>
      <c r="D9" s="133">
        <f>E9+F9</f>
        <v>4.1315900000000001</v>
      </c>
      <c r="E9" s="133"/>
      <c r="F9" s="133">
        <v>4.1315900000000001</v>
      </c>
      <c r="G9" s="134">
        <f>H9+I9</f>
        <v>4.1315900000000001</v>
      </c>
      <c r="H9" s="134"/>
      <c r="I9" s="133">
        <v>4.1315900000000001</v>
      </c>
      <c r="J9" s="134">
        <f>K9+L9</f>
        <v>4.1315900000000001</v>
      </c>
      <c r="K9" s="134"/>
      <c r="L9" s="133">
        <v>4.1315900000000001</v>
      </c>
      <c r="M9" s="5">
        <f>J9/D9%</f>
        <v>100</v>
      </c>
      <c r="N9" s="125"/>
      <c r="O9" s="6" t="s">
        <v>546</v>
      </c>
      <c r="P9" s="79" t="s">
        <v>421</v>
      </c>
      <c r="Q9" s="3" t="s">
        <v>532</v>
      </c>
      <c r="R9" s="4"/>
    </row>
    <row r="10" spans="2:18" x14ac:dyDescent="0.25">
      <c r="B10" s="56"/>
      <c r="C10" s="2"/>
      <c r="D10" s="133"/>
      <c r="E10" s="133"/>
      <c r="F10" s="133"/>
      <c r="G10" s="134"/>
      <c r="H10" s="134"/>
      <c r="I10" s="135"/>
      <c r="J10" s="134"/>
      <c r="K10" s="134"/>
      <c r="L10" s="134"/>
      <c r="M10" s="3"/>
      <c r="N10" s="125"/>
      <c r="O10" s="3"/>
      <c r="P10" s="79"/>
      <c r="Q10" s="3"/>
      <c r="R10" s="4"/>
    </row>
    <row r="11" spans="2:18" ht="51" x14ac:dyDescent="0.25">
      <c r="B11" s="66" t="s">
        <v>13</v>
      </c>
      <c r="C11" s="35" t="s">
        <v>14</v>
      </c>
      <c r="D11" s="134"/>
      <c r="E11" s="134"/>
      <c r="F11" s="134"/>
      <c r="G11" s="134"/>
      <c r="H11" s="134"/>
      <c r="I11" s="134"/>
      <c r="J11" s="134"/>
      <c r="K11" s="134"/>
      <c r="L11" s="134"/>
      <c r="M11" s="5"/>
      <c r="N11" s="126"/>
      <c r="O11" s="6"/>
      <c r="P11" s="76"/>
      <c r="Q11" s="7"/>
      <c r="R11" s="4"/>
    </row>
    <row r="12" spans="2:18" ht="67.5" x14ac:dyDescent="0.25">
      <c r="B12" s="6"/>
      <c r="C12" s="93" t="s">
        <v>15</v>
      </c>
      <c r="D12" s="134">
        <f>E12+F12</f>
        <v>54.965000000000003</v>
      </c>
      <c r="E12" s="134">
        <v>54.965000000000003</v>
      </c>
      <c r="F12" s="134"/>
      <c r="G12" s="134">
        <f t="shared" ref="G12:G15" si="0">H12+I12</f>
        <v>277.83668</v>
      </c>
      <c r="H12" s="134">
        <v>277.83668</v>
      </c>
      <c r="I12" s="134"/>
      <c r="J12" s="134">
        <f>K12+L12</f>
        <v>44.406550000000003</v>
      </c>
      <c r="K12" s="134">
        <v>44.406550000000003</v>
      </c>
      <c r="L12" s="134"/>
      <c r="M12" s="5">
        <f>J12/D12%</f>
        <v>80.790594014372772</v>
      </c>
      <c r="N12" s="120">
        <v>50</v>
      </c>
      <c r="O12" s="6" t="s">
        <v>16</v>
      </c>
      <c r="P12" s="76" t="s">
        <v>17</v>
      </c>
      <c r="Q12" s="93" t="s">
        <v>18</v>
      </c>
      <c r="R12" s="4"/>
    </row>
    <row r="13" spans="2:18" ht="78.75" x14ac:dyDescent="0.25">
      <c r="B13" s="6"/>
      <c r="C13" s="81" t="s">
        <v>407</v>
      </c>
      <c r="D13" s="134">
        <f>E13+F13</f>
        <v>1.3</v>
      </c>
      <c r="E13" s="134">
        <v>1.3</v>
      </c>
      <c r="F13" s="134"/>
      <c r="G13" s="134">
        <f t="shared" si="0"/>
        <v>1.3</v>
      </c>
      <c r="H13" s="134">
        <v>1.3</v>
      </c>
      <c r="I13" s="134"/>
      <c r="J13" s="134">
        <f>K13+L13</f>
        <v>1.3</v>
      </c>
      <c r="K13" s="134">
        <v>1.3</v>
      </c>
      <c r="L13" s="134"/>
      <c r="M13" s="5">
        <f t="shared" ref="M13:M61" si="1">J13/D13%</f>
        <v>100</v>
      </c>
      <c r="N13" s="126">
        <v>100</v>
      </c>
      <c r="O13" s="6" t="s">
        <v>442</v>
      </c>
      <c r="P13" s="76" t="s">
        <v>408</v>
      </c>
      <c r="Q13" s="81" t="s">
        <v>409</v>
      </c>
      <c r="R13" s="4"/>
    </row>
    <row r="14" spans="2:18" ht="90" x14ac:dyDescent="0.25">
      <c r="B14" s="6"/>
      <c r="C14" s="81" t="s">
        <v>444</v>
      </c>
      <c r="D14" s="134">
        <f t="shared" ref="D14:D15" si="2">E14+F14</f>
        <v>0.89600000000000002</v>
      </c>
      <c r="E14" s="134">
        <v>0.89600000000000002</v>
      </c>
      <c r="F14" s="134"/>
      <c r="G14" s="134">
        <f t="shared" si="0"/>
        <v>0.89600000000000002</v>
      </c>
      <c r="H14" s="134">
        <v>0.89600000000000002</v>
      </c>
      <c r="I14" s="134"/>
      <c r="J14" s="134">
        <f t="shared" ref="J14:J15" si="3">K14+L14</f>
        <v>0.89600000000000002</v>
      </c>
      <c r="K14" s="134">
        <v>0.89600000000000002</v>
      </c>
      <c r="L14" s="134"/>
      <c r="M14" s="5">
        <f t="shared" si="1"/>
        <v>99.999999999999986</v>
      </c>
      <c r="N14" s="126">
        <v>100</v>
      </c>
      <c r="O14" s="6" t="s">
        <v>535</v>
      </c>
      <c r="P14" s="76">
        <v>69</v>
      </c>
      <c r="Q14" s="102" t="s">
        <v>445</v>
      </c>
      <c r="R14" s="4"/>
    </row>
    <row r="15" spans="2:18" ht="78.75" x14ac:dyDescent="0.25">
      <c r="B15" s="6"/>
      <c r="C15" s="80" t="s">
        <v>446</v>
      </c>
      <c r="D15" s="134">
        <f t="shared" si="2"/>
        <v>106.6982</v>
      </c>
      <c r="E15" s="134">
        <f>6.7262+99.972</f>
        <v>106.6982</v>
      </c>
      <c r="F15" s="134"/>
      <c r="G15" s="134">
        <f t="shared" si="0"/>
        <v>432.16</v>
      </c>
      <c r="H15" s="134">
        <v>432.16</v>
      </c>
      <c r="I15" s="134"/>
      <c r="J15" s="134">
        <f t="shared" si="3"/>
        <v>86.432000000000002</v>
      </c>
      <c r="K15" s="134">
        <v>86.432000000000002</v>
      </c>
      <c r="L15" s="134"/>
      <c r="M15" s="5">
        <f t="shared" si="1"/>
        <v>81.006052585704339</v>
      </c>
      <c r="N15" s="126">
        <v>10</v>
      </c>
      <c r="O15" s="6" t="s">
        <v>534</v>
      </c>
      <c r="P15" s="76">
        <v>70</v>
      </c>
      <c r="Q15" s="80" t="s">
        <v>447</v>
      </c>
      <c r="R15" s="4"/>
    </row>
    <row r="16" spans="2:18" x14ac:dyDescent="0.25">
      <c r="B16" s="6"/>
      <c r="C16" s="16" t="s">
        <v>19</v>
      </c>
      <c r="D16" s="134">
        <f t="shared" ref="D16:D88" si="4">E16+F16</f>
        <v>163.85919999999999</v>
      </c>
      <c r="E16" s="134">
        <f>SUM(E12:E15)</f>
        <v>163.85919999999999</v>
      </c>
      <c r="F16" s="134">
        <f>SUM(F12:F15)</f>
        <v>0</v>
      </c>
      <c r="G16" s="134">
        <f t="shared" ref="G16:G88" si="5">H16+I16</f>
        <v>712.19268000000011</v>
      </c>
      <c r="H16" s="134">
        <f>SUM(H12:H15)</f>
        <v>712.19268000000011</v>
      </c>
      <c r="I16" s="134">
        <f>SUM(I12:I15)</f>
        <v>0</v>
      </c>
      <c r="J16" s="134">
        <f t="shared" ref="J16:J88" si="6">K16+L16</f>
        <v>133.03455</v>
      </c>
      <c r="K16" s="134">
        <f>SUM(K12:K15)</f>
        <v>133.03455</v>
      </c>
      <c r="L16" s="134">
        <f>SUM(L12:L15)</f>
        <v>0</v>
      </c>
      <c r="M16" s="5">
        <f t="shared" si="1"/>
        <v>81.188331201421718</v>
      </c>
      <c r="N16" s="126"/>
      <c r="O16" s="6"/>
      <c r="P16" s="76"/>
      <c r="Q16" s="7"/>
      <c r="R16" s="8"/>
    </row>
    <row r="17" spans="2:23" x14ac:dyDescent="0.25">
      <c r="B17" s="6"/>
      <c r="C17" s="16"/>
      <c r="D17" s="134"/>
      <c r="E17" s="134"/>
      <c r="F17" s="134"/>
      <c r="G17" s="134"/>
      <c r="H17" s="134"/>
      <c r="I17" s="134"/>
      <c r="J17" s="134"/>
      <c r="K17" s="134"/>
      <c r="L17" s="134"/>
      <c r="M17" s="5"/>
      <c r="N17" s="126"/>
      <c r="O17" s="6"/>
      <c r="P17" s="76"/>
      <c r="Q17" s="7"/>
      <c r="R17" s="8"/>
    </row>
    <row r="18" spans="2:23" ht="38.25" x14ac:dyDescent="0.25">
      <c r="B18" s="42" t="s">
        <v>20</v>
      </c>
      <c r="C18" s="9" t="s">
        <v>21</v>
      </c>
      <c r="D18" s="134"/>
      <c r="E18" s="133"/>
      <c r="F18" s="133"/>
      <c r="G18" s="134"/>
      <c r="H18" s="134"/>
      <c r="I18" s="135"/>
      <c r="J18" s="134"/>
      <c r="K18" s="134"/>
      <c r="L18" s="134"/>
      <c r="M18" s="5"/>
      <c r="N18" s="126"/>
      <c r="O18" s="3"/>
      <c r="P18" s="79"/>
      <c r="Q18" s="3"/>
      <c r="R18" s="4"/>
    </row>
    <row r="19" spans="2:23" ht="124.5" x14ac:dyDescent="0.25">
      <c r="B19" s="6"/>
      <c r="C19" s="26" t="s">
        <v>22</v>
      </c>
      <c r="D19" s="134">
        <f t="shared" si="4"/>
        <v>1578.13671</v>
      </c>
      <c r="E19" s="134">
        <v>78.936880000000002</v>
      </c>
      <c r="F19" s="134">
        <f>1499.80061-0.60078</f>
        <v>1499.19983</v>
      </c>
      <c r="G19" s="134">
        <f t="shared" si="5"/>
        <v>1973.4214900000002</v>
      </c>
      <c r="H19" s="136">
        <v>393.35649000000001</v>
      </c>
      <c r="I19" s="136">
        <v>1580.0650000000001</v>
      </c>
      <c r="J19" s="134">
        <f t="shared" si="6"/>
        <v>562.05269999999996</v>
      </c>
      <c r="K19" s="134">
        <f>5.01939+1.89741+0.86396+20.3212</f>
        <v>28.101959999999998</v>
      </c>
      <c r="L19" s="134">
        <f>95.3684+36.05072+16.41522+386.1164</f>
        <v>533.95074</v>
      </c>
      <c r="M19" s="5">
        <f t="shared" si="1"/>
        <v>35.614956324031013</v>
      </c>
      <c r="N19" s="126">
        <v>55</v>
      </c>
      <c r="O19" s="6" t="s">
        <v>23</v>
      </c>
      <c r="P19" s="12" t="s">
        <v>24</v>
      </c>
      <c r="Q19" s="10" t="s">
        <v>25</v>
      </c>
      <c r="R19" s="4" t="s">
        <v>26</v>
      </c>
      <c r="S19" s="87"/>
      <c r="U19" s="87"/>
      <c r="W19" s="103"/>
    </row>
    <row r="20" spans="2:23" ht="67.5" x14ac:dyDescent="0.25">
      <c r="B20" s="6"/>
      <c r="C20" s="26" t="s">
        <v>27</v>
      </c>
      <c r="D20" s="134">
        <f t="shared" si="4"/>
        <v>7.4389599999999998</v>
      </c>
      <c r="E20" s="134">
        <v>7.4389599999999998</v>
      </c>
      <c r="F20" s="134"/>
      <c r="G20" s="134">
        <f t="shared" si="5"/>
        <v>152.62199000000001</v>
      </c>
      <c r="H20" s="137">
        <v>152.62199000000001</v>
      </c>
      <c r="I20" s="138"/>
      <c r="J20" s="134">
        <f t="shared" si="6"/>
        <v>7.4389599999999998</v>
      </c>
      <c r="K20" s="134">
        <v>7.4389599999999998</v>
      </c>
      <c r="L20" s="134"/>
      <c r="M20" s="5">
        <f t="shared" si="1"/>
        <v>100</v>
      </c>
      <c r="N20" s="126">
        <v>100</v>
      </c>
      <c r="O20" s="6" t="s">
        <v>28</v>
      </c>
      <c r="P20" s="12" t="s">
        <v>29</v>
      </c>
      <c r="Q20" s="10" t="s">
        <v>30</v>
      </c>
      <c r="R20" s="4" t="s">
        <v>31</v>
      </c>
    </row>
    <row r="21" spans="2:23" ht="57" x14ac:dyDescent="0.25">
      <c r="B21" s="6"/>
      <c r="C21" s="26" t="s">
        <v>32</v>
      </c>
      <c r="D21" s="134">
        <f t="shared" si="4"/>
        <v>3.1566999999999998</v>
      </c>
      <c r="E21" s="136">
        <v>3.1566999999999998</v>
      </c>
      <c r="F21" s="136"/>
      <c r="G21" s="134">
        <f t="shared" si="5"/>
        <v>63.134099999999997</v>
      </c>
      <c r="H21" s="136">
        <v>63.134099999999997</v>
      </c>
      <c r="I21" s="136"/>
      <c r="J21" s="134">
        <f t="shared" si="6"/>
        <v>3.1566999999999998</v>
      </c>
      <c r="K21" s="134">
        <v>3.1566999999999998</v>
      </c>
      <c r="L21" s="134"/>
      <c r="M21" s="5">
        <f t="shared" si="1"/>
        <v>100</v>
      </c>
      <c r="N21" s="126">
        <v>100</v>
      </c>
      <c r="O21" s="6" t="s">
        <v>33</v>
      </c>
      <c r="P21" s="12" t="s">
        <v>34</v>
      </c>
      <c r="Q21" s="10" t="s">
        <v>35</v>
      </c>
      <c r="R21" s="4" t="s">
        <v>36</v>
      </c>
    </row>
    <row r="22" spans="2:23" ht="67.5" x14ac:dyDescent="0.25">
      <c r="B22" s="6"/>
      <c r="C22" s="26" t="s">
        <v>37</v>
      </c>
      <c r="D22" s="134">
        <f t="shared" si="4"/>
        <v>444.43311999999997</v>
      </c>
      <c r="E22" s="134">
        <v>22.221499999999999</v>
      </c>
      <c r="F22" s="134">
        <v>422.21161999999998</v>
      </c>
      <c r="G22" s="134">
        <f t="shared" si="5"/>
        <v>444.43311999999997</v>
      </c>
      <c r="H22" s="134">
        <v>22.221499999999999</v>
      </c>
      <c r="I22" s="134">
        <v>422.21161999999998</v>
      </c>
      <c r="J22" s="134">
        <f t="shared" si="6"/>
        <v>324.01697999999999</v>
      </c>
      <c r="K22" s="134">
        <f>2.64648+4.44425+5.29532+3.90955</f>
        <v>16.2956</v>
      </c>
      <c r="L22" s="134">
        <f>48.38298+84.446+100.6111+74.2813</f>
        <v>307.72138000000001</v>
      </c>
      <c r="M22" s="5">
        <f t="shared" si="1"/>
        <v>72.905678136678929</v>
      </c>
      <c r="N22" s="126">
        <v>100</v>
      </c>
      <c r="O22" s="6" t="s">
        <v>443</v>
      </c>
      <c r="P22" s="12" t="s">
        <v>38</v>
      </c>
      <c r="Q22" s="10" t="s">
        <v>30</v>
      </c>
      <c r="R22" s="13"/>
    </row>
    <row r="23" spans="2:23" ht="69" customHeight="1" x14ac:dyDescent="0.25">
      <c r="B23" s="68"/>
      <c r="C23" s="26" t="s">
        <v>39</v>
      </c>
      <c r="D23" s="134">
        <f t="shared" si="4"/>
        <v>68.871510000000001</v>
      </c>
      <c r="E23" s="136"/>
      <c r="F23" s="136">
        <v>68.871510000000001</v>
      </c>
      <c r="G23" s="134">
        <f t="shared" si="5"/>
        <v>425.71478999999999</v>
      </c>
      <c r="H23" s="136">
        <v>170.2859</v>
      </c>
      <c r="I23" s="136">
        <v>255.42889</v>
      </c>
      <c r="J23" s="134">
        <f t="shared" si="6"/>
        <v>8.0885800000000003</v>
      </c>
      <c r="K23" s="134"/>
      <c r="L23" s="134">
        <v>8.0885800000000003</v>
      </c>
      <c r="M23" s="5">
        <f t="shared" si="1"/>
        <v>11.744449918406028</v>
      </c>
      <c r="N23" s="126">
        <v>100</v>
      </c>
      <c r="O23" s="6" t="s">
        <v>40</v>
      </c>
      <c r="P23" s="12">
        <v>92</v>
      </c>
      <c r="Q23" s="10" t="s">
        <v>41</v>
      </c>
      <c r="R23" s="4" t="s">
        <v>42</v>
      </c>
    </row>
    <row r="24" spans="2:23" ht="67.5" x14ac:dyDescent="0.25">
      <c r="B24" s="6"/>
      <c r="C24" s="26" t="s">
        <v>43</v>
      </c>
      <c r="D24" s="134">
        <f t="shared" si="4"/>
        <v>22</v>
      </c>
      <c r="E24" s="139">
        <v>22</v>
      </c>
      <c r="F24" s="134"/>
      <c r="G24" s="134">
        <f t="shared" si="5"/>
        <v>22</v>
      </c>
      <c r="H24" s="134">
        <v>22</v>
      </c>
      <c r="I24" s="134"/>
      <c r="J24" s="134">
        <f t="shared" si="6"/>
        <v>22</v>
      </c>
      <c r="K24" s="139">
        <v>22</v>
      </c>
      <c r="L24" s="134"/>
      <c r="M24" s="5">
        <f t="shared" si="1"/>
        <v>100</v>
      </c>
      <c r="N24" s="126"/>
      <c r="O24" s="14" t="s">
        <v>44</v>
      </c>
      <c r="P24" s="12">
        <v>1</v>
      </c>
      <c r="Q24" s="21" t="s">
        <v>45</v>
      </c>
      <c r="R24" s="8"/>
    </row>
    <row r="25" spans="2:23" ht="87.75" customHeight="1" x14ac:dyDescent="0.25">
      <c r="B25" s="6"/>
      <c r="C25" s="95" t="s">
        <v>46</v>
      </c>
      <c r="D25" s="134">
        <f t="shared" si="4"/>
        <v>209.8758</v>
      </c>
      <c r="E25" s="139">
        <v>14.016780000000001</v>
      </c>
      <c r="F25" s="134">
        <f>166.30273+29.55629</f>
        <v>195.85901999999999</v>
      </c>
      <c r="G25" s="134">
        <f t="shared" si="5"/>
        <v>283.05473000000001</v>
      </c>
      <c r="H25" s="139">
        <v>16.751999999999999</v>
      </c>
      <c r="I25" s="134">
        <v>266.30273</v>
      </c>
      <c r="J25" s="134">
        <f t="shared" si="6"/>
        <v>201.05997000000002</v>
      </c>
      <c r="K25" s="139">
        <f>5.264+0.58083+7.731</f>
        <v>13.57583</v>
      </c>
      <c r="L25" s="134">
        <f>29.55629+7.732+146.892+3.30385</f>
        <v>187.48414000000002</v>
      </c>
      <c r="M25" s="5">
        <f t="shared" si="1"/>
        <v>95.799501419410916</v>
      </c>
      <c r="N25" s="126">
        <v>100</v>
      </c>
      <c r="O25" s="181" t="s">
        <v>47</v>
      </c>
      <c r="P25" s="182" t="s">
        <v>48</v>
      </c>
      <c r="Q25" s="175" t="s">
        <v>49</v>
      </c>
      <c r="R25" s="4" t="s">
        <v>50</v>
      </c>
    </row>
    <row r="26" spans="2:23" ht="75.75" customHeight="1" x14ac:dyDescent="0.25">
      <c r="B26" s="6"/>
      <c r="C26" s="95" t="s">
        <v>51</v>
      </c>
      <c r="D26" s="134">
        <f t="shared" si="4"/>
        <v>107.36035</v>
      </c>
      <c r="E26" s="139">
        <v>5.3675199999999998</v>
      </c>
      <c r="F26" s="134">
        <v>101.99283</v>
      </c>
      <c r="G26" s="134">
        <f t="shared" si="5"/>
        <v>209.88833</v>
      </c>
      <c r="H26" s="139">
        <v>7.8960000000000008</v>
      </c>
      <c r="I26" s="134">
        <v>201.99232999999998</v>
      </c>
      <c r="J26" s="134">
        <f t="shared" si="6"/>
        <v>99.790559999999999</v>
      </c>
      <c r="K26" s="139">
        <v>4.9889999999999999</v>
      </c>
      <c r="L26" s="134">
        <v>94.801559999999995</v>
      </c>
      <c r="M26" s="5">
        <f t="shared" si="1"/>
        <v>92.949175370609353</v>
      </c>
      <c r="N26" s="126">
        <v>100</v>
      </c>
      <c r="O26" s="181"/>
      <c r="P26" s="182"/>
      <c r="Q26" s="175"/>
      <c r="R26" s="4" t="s">
        <v>52</v>
      </c>
    </row>
    <row r="27" spans="2:23" ht="69.75" customHeight="1" x14ac:dyDescent="0.25">
      <c r="B27" s="6"/>
      <c r="C27" s="19" t="s">
        <v>625</v>
      </c>
      <c r="D27" s="134">
        <f t="shared" si="4"/>
        <v>493.50878</v>
      </c>
      <c r="E27" s="137">
        <v>24.67614</v>
      </c>
      <c r="F27" s="137">
        <f>19.2687+449.56394</f>
        <v>468.83264000000003</v>
      </c>
      <c r="G27" s="134">
        <f t="shared" si="5"/>
        <v>493.50878</v>
      </c>
      <c r="H27" s="137">
        <v>24.67614</v>
      </c>
      <c r="I27" s="137">
        <f>19.2687+449.56394</f>
        <v>468.83264000000003</v>
      </c>
      <c r="J27" s="134">
        <f t="shared" si="6"/>
        <v>485.67778999999996</v>
      </c>
      <c r="K27" s="137">
        <f>0.62259+15.19063+8.47137</f>
        <v>24.284590000000001</v>
      </c>
      <c r="L27" s="137">
        <f>11.82926+288.62198+160.94196</f>
        <v>461.39319999999998</v>
      </c>
      <c r="M27" s="5">
        <f t="shared" si="1"/>
        <v>98.41320148346702</v>
      </c>
      <c r="N27" s="126">
        <v>100</v>
      </c>
      <c r="O27" s="15" t="s">
        <v>53</v>
      </c>
      <c r="P27" s="76">
        <v>86</v>
      </c>
      <c r="Q27" s="18" t="s">
        <v>54</v>
      </c>
      <c r="R27" s="4"/>
    </row>
    <row r="28" spans="2:23" ht="133.5" customHeight="1" x14ac:dyDescent="0.25">
      <c r="B28" s="6"/>
      <c r="C28" s="19" t="s">
        <v>626</v>
      </c>
      <c r="D28" s="134">
        <f t="shared" si="4"/>
        <v>289.81508000000002</v>
      </c>
      <c r="E28" s="134">
        <v>15.30119</v>
      </c>
      <c r="F28" s="134">
        <f>264.54112+9.97277</f>
        <v>274.51389</v>
      </c>
      <c r="G28" s="134">
        <f t="shared" si="5"/>
        <v>523.6</v>
      </c>
      <c r="H28" s="134">
        <v>42.867989999999999</v>
      </c>
      <c r="I28" s="134">
        <v>480.73201</v>
      </c>
      <c r="J28" s="134">
        <f t="shared" si="6"/>
        <v>0</v>
      </c>
      <c r="K28" s="137"/>
      <c r="L28" s="137"/>
      <c r="M28" s="5">
        <f t="shared" si="1"/>
        <v>0</v>
      </c>
      <c r="N28" s="126">
        <v>95</v>
      </c>
      <c r="O28" s="15" t="s">
        <v>55</v>
      </c>
      <c r="P28" s="76" t="s">
        <v>56</v>
      </c>
      <c r="Q28" s="18" t="s">
        <v>54</v>
      </c>
      <c r="R28" s="4" t="s">
        <v>57</v>
      </c>
    </row>
    <row r="29" spans="2:23" ht="102" customHeight="1" x14ac:dyDescent="0.25">
      <c r="B29" s="67"/>
      <c r="C29" s="19" t="s">
        <v>627</v>
      </c>
      <c r="D29" s="134">
        <f t="shared" si="4"/>
        <v>84.890309999999999</v>
      </c>
      <c r="E29" s="134">
        <f>4.72521-E30</f>
        <v>4.2441399999999998</v>
      </c>
      <c r="F29" s="134">
        <v>80.646169999999998</v>
      </c>
      <c r="G29" s="134">
        <f t="shared" si="5"/>
        <v>284.89029999999997</v>
      </c>
      <c r="H29" s="134">
        <v>14.24451</v>
      </c>
      <c r="I29" s="134">
        <v>270.64578999999998</v>
      </c>
      <c r="J29" s="134">
        <f t="shared" si="6"/>
        <v>73.462729999999993</v>
      </c>
      <c r="K29" s="137">
        <f>0.42582+3.24733</f>
        <v>3.6731499999999997</v>
      </c>
      <c r="L29" s="137">
        <f>8.09046+61.69912</f>
        <v>69.789580000000001</v>
      </c>
      <c r="M29" s="161">
        <f>J29+J30/D29%</f>
        <v>84.796862246660424</v>
      </c>
      <c r="N29" s="161">
        <v>100</v>
      </c>
      <c r="O29" s="181" t="s">
        <v>58</v>
      </c>
      <c r="P29" s="167">
        <v>90</v>
      </c>
      <c r="Q29" s="5" t="s">
        <v>54</v>
      </c>
      <c r="R29" s="163" t="s">
        <v>510</v>
      </c>
    </row>
    <row r="30" spans="2:23" ht="67.5" x14ac:dyDescent="0.25">
      <c r="B30" s="67">
        <f>D29-D30</f>
        <v>75.268730000000005</v>
      </c>
      <c r="C30" s="81" t="s">
        <v>412</v>
      </c>
      <c r="D30" s="134">
        <f t="shared" si="4"/>
        <v>9.6215799999999998</v>
      </c>
      <c r="E30" s="137">
        <f>0.24215+0.23892</f>
        <v>0.48107</v>
      </c>
      <c r="F30" s="137">
        <f>4.60098+4.53953</f>
        <v>9.140509999999999</v>
      </c>
      <c r="G30" s="134">
        <f t="shared" si="5"/>
        <v>0</v>
      </c>
      <c r="H30" s="134"/>
      <c r="I30" s="134"/>
      <c r="J30" s="134">
        <f t="shared" si="6"/>
        <v>9.6215799999999998</v>
      </c>
      <c r="K30" s="137">
        <f>0.24215+0.23892</f>
        <v>0.48107</v>
      </c>
      <c r="L30" s="137">
        <f>4.60098+4.53953</f>
        <v>9.140509999999999</v>
      </c>
      <c r="M30" s="162"/>
      <c r="N30" s="162"/>
      <c r="O30" s="181"/>
      <c r="P30" s="167"/>
      <c r="Q30" s="80" t="s">
        <v>623</v>
      </c>
      <c r="R30" s="164"/>
    </row>
    <row r="31" spans="2:23" ht="135.75" x14ac:dyDescent="0.25">
      <c r="B31" s="6"/>
      <c r="C31" s="26" t="s">
        <v>628</v>
      </c>
      <c r="D31" s="134">
        <f t="shared" si="4"/>
        <v>241.57337000000001</v>
      </c>
      <c r="E31" s="136">
        <v>13.249280000000001</v>
      </c>
      <c r="F31" s="134">
        <f>210.9+17.42409</f>
        <v>228.32409000000001</v>
      </c>
      <c r="G31" s="134">
        <f t="shared" si="5"/>
        <v>474</v>
      </c>
      <c r="H31" s="140">
        <v>38.700000000000003</v>
      </c>
      <c r="I31" s="140">
        <v>435.3</v>
      </c>
      <c r="J31" s="134">
        <f t="shared" si="6"/>
        <v>0</v>
      </c>
      <c r="K31" s="137"/>
      <c r="L31" s="139"/>
      <c r="M31" s="5">
        <f t="shared" si="1"/>
        <v>0</v>
      </c>
      <c r="N31" s="126">
        <v>100</v>
      </c>
      <c r="O31" s="15" t="s">
        <v>59</v>
      </c>
      <c r="P31" s="76" t="s">
        <v>60</v>
      </c>
      <c r="Q31" s="18" t="s">
        <v>54</v>
      </c>
      <c r="R31" s="8" t="s">
        <v>61</v>
      </c>
    </row>
    <row r="32" spans="2:23" ht="72.75" customHeight="1" x14ac:dyDescent="0.25">
      <c r="B32" s="6"/>
      <c r="C32" s="16" t="s">
        <v>62</v>
      </c>
      <c r="D32" s="134">
        <f t="shared" si="4"/>
        <v>30</v>
      </c>
      <c r="E32" s="136">
        <v>30</v>
      </c>
      <c r="F32" s="134"/>
      <c r="G32" s="134">
        <f t="shared" si="5"/>
        <v>70</v>
      </c>
      <c r="H32" s="136">
        <v>70</v>
      </c>
      <c r="I32" s="140"/>
      <c r="J32" s="134">
        <f t="shared" si="6"/>
        <v>0</v>
      </c>
      <c r="K32" s="137"/>
      <c r="L32" s="139"/>
      <c r="M32" s="5">
        <f t="shared" si="1"/>
        <v>0</v>
      </c>
      <c r="N32" s="126"/>
      <c r="O32" s="6" t="s">
        <v>119</v>
      </c>
      <c r="P32" s="12">
        <v>17</v>
      </c>
      <c r="Q32" s="104" t="s">
        <v>63</v>
      </c>
      <c r="R32" s="4"/>
    </row>
    <row r="33" spans="2:19" ht="56.25" x14ac:dyDescent="0.25">
      <c r="B33" s="6"/>
      <c r="C33" s="19" t="s">
        <v>385</v>
      </c>
      <c r="D33" s="134">
        <f t="shared" si="4"/>
        <v>148.98486</v>
      </c>
      <c r="E33" s="137">
        <v>148.98486</v>
      </c>
      <c r="F33" s="137"/>
      <c r="G33" s="134">
        <f t="shared" si="5"/>
        <v>148.98486</v>
      </c>
      <c r="H33" s="137">
        <v>148.98486</v>
      </c>
      <c r="I33" s="137"/>
      <c r="J33" s="134">
        <f t="shared" si="6"/>
        <v>148.98486</v>
      </c>
      <c r="K33" s="139">
        <v>148.98486</v>
      </c>
      <c r="L33" s="141"/>
      <c r="M33" s="5">
        <f t="shared" si="1"/>
        <v>100</v>
      </c>
      <c r="N33" s="126">
        <v>100</v>
      </c>
      <c r="O33" s="15" t="s">
        <v>536</v>
      </c>
      <c r="P33" s="76">
        <v>134</v>
      </c>
      <c r="Q33" s="81" t="s">
        <v>49</v>
      </c>
      <c r="R33" s="4"/>
    </row>
    <row r="34" spans="2:19" ht="78.75" x14ac:dyDescent="0.25">
      <c r="B34" s="6"/>
      <c r="C34" s="19" t="s">
        <v>386</v>
      </c>
      <c r="D34" s="134">
        <f t="shared" si="4"/>
        <v>102.39593000000001</v>
      </c>
      <c r="E34" s="137">
        <v>102.39593000000001</v>
      </c>
      <c r="F34" s="137"/>
      <c r="G34" s="134">
        <f t="shared" si="5"/>
        <v>102.39593000000001</v>
      </c>
      <c r="H34" s="137">
        <v>102.39593000000001</v>
      </c>
      <c r="I34" s="137"/>
      <c r="J34" s="134">
        <f t="shared" si="6"/>
        <v>53.956460000000007</v>
      </c>
      <c r="K34" s="139">
        <f>37.62859+16.32787</f>
        <v>53.956460000000007</v>
      </c>
      <c r="L34" s="141"/>
      <c r="M34" s="5">
        <f>(J34+I35)/D34*100</f>
        <v>52.693949847420697</v>
      </c>
      <c r="N34" s="126"/>
      <c r="O34" s="15" t="s">
        <v>538</v>
      </c>
      <c r="P34" s="76">
        <v>29</v>
      </c>
      <c r="Q34" s="18" t="s">
        <v>387</v>
      </c>
      <c r="R34" s="4"/>
    </row>
    <row r="35" spans="2:19" ht="68.25" customHeight="1" x14ac:dyDescent="0.25">
      <c r="B35" s="6"/>
      <c r="C35" s="81" t="s">
        <v>410</v>
      </c>
      <c r="D35" s="134">
        <f t="shared" si="4"/>
        <v>0</v>
      </c>
      <c r="E35" s="137"/>
      <c r="F35" s="137"/>
      <c r="G35" s="134">
        <f t="shared" si="5"/>
        <v>0</v>
      </c>
      <c r="H35" s="137"/>
      <c r="I35" s="137"/>
      <c r="J35" s="134">
        <f t="shared" si="6"/>
        <v>27.983799999999999</v>
      </c>
      <c r="K35" s="139"/>
      <c r="L35" s="141">
        <v>27.983799999999999</v>
      </c>
      <c r="M35" s="161">
        <f>J36+J35/D36%</f>
        <v>76.219064207976288</v>
      </c>
      <c r="N35" s="161">
        <v>100</v>
      </c>
      <c r="O35" s="181" t="s">
        <v>537</v>
      </c>
      <c r="P35" s="167">
        <v>61</v>
      </c>
      <c r="Q35" s="122" t="s">
        <v>623</v>
      </c>
      <c r="R35" s="4"/>
    </row>
    <row r="36" spans="2:19" ht="75" customHeight="1" x14ac:dyDescent="0.25">
      <c r="B36" s="6"/>
      <c r="C36" s="80" t="s">
        <v>624</v>
      </c>
      <c r="D36" s="134">
        <f t="shared" si="4"/>
        <v>110.77282</v>
      </c>
      <c r="E36" s="137"/>
      <c r="F36" s="137">
        <v>110.77282</v>
      </c>
      <c r="G36" s="134">
        <f t="shared" si="5"/>
        <v>110.77282</v>
      </c>
      <c r="H36" s="137"/>
      <c r="I36" s="137">
        <v>110.77282</v>
      </c>
      <c r="J36" s="134">
        <f t="shared" si="6"/>
        <v>50.95673</v>
      </c>
      <c r="K36" s="139"/>
      <c r="L36" s="141">
        <v>50.95673</v>
      </c>
      <c r="M36" s="162"/>
      <c r="N36" s="162"/>
      <c r="O36" s="181"/>
      <c r="P36" s="167"/>
      <c r="Q36" s="122" t="s">
        <v>411</v>
      </c>
      <c r="R36" s="4"/>
    </row>
    <row r="37" spans="2:19" ht="45" customHeight="1" x14ac:dyDescent="0.25">
      <c r="B37" s="6"/>
      <c r="C37" s="80" t="s">
        <v>413</v>
      </c>
      <c r="D37" s="134">
        <f t="shared" si="4"/>
        <v>100</v>
      </c>
      <c r="E37" s="137">
        <v>100</v>
      </c>
      <c r="F37" s="137"/>
      <c r="G37" s="134">
        <f t="shared" si="5"/>
        <v>322.54088000000002</v>
      </c>
      <c r="H37" s="137">
        <v>322.54088000000002</v>
      </c>
      <c r="I37" s="137"/>
      <c r="J37" s="134">
        <f t="shared" si="6"/>
        <v>47.025129999999997</v>
      </c>
      <c r="K37" s="139">
        <v>47.025129999999997</v>
      </c>
      <c r="L37" s="141"/>
      <c r="M37" s="5">
        <f t="shared" si="1"/>
        <v>47.025129999999997</v>
      </c>
      <c r="N37" s="126">
        <v>25</v>
      </c>
      <c r="O37" s="195" t="s">
        <v>509</v>
      </c>
      <c r="P37" s="167">
        <v>59</v>
      </c>
      <c r="Q37" s="178" t="s">
        <v>49</v>
      </c>
      <c r="R37" s="4"/>
    </row>
    <row r="38" spans="2:19" ht="45" customHeight="1" x14ac:dyDescent="0.25">
      <c r="B38" s="6"/>
      <c r="C38" s="80" t="s">
        <v>414</v>
      </c>
      <c r="D38" s="134">
        <f t="shared" si="4"/>
        <v>80</v>
      </c>
      <c r="E38" s="137">
        <v>80</v>
      </c>
      <c r="F38" s="137"/>
      <c r="G38" s="134">
        <f t="shared" si="5"/>
        <v>286.31612000000001</v>
      </c>
      <c r="H38" s="137">
        <v>286.31612000000001</v>
      </c>
      <c r="I38" s="137"/>
      <c r="J38" s="134">
        <f t="shared" si="6"/>
        <v>52.974870000000003</v>
      </c>
      <c r="K38" s="139">
        <v>52.974870000000003</v>
      </c>
      <c r="L38" s="141"/>
      <c r="M38" s="5">
        <f t="shared" si="1"/>
        <v>66.218587499999998</v>
      </c>
      <c r="N38" s="126">
        <v>25</v>
      </c>
      <c r="O38" s="195"/>
      <c r="P38" s="167"/>
      <c r="Q38" s="178"/>
      <c r="R38" s="4"/>
    </row>
    <row r="39" spans="2:19" ht="126" customHeight="1" x14ac:dyDescent="0.25">
      <c r="B39" s="6"/>
      <c r="C39" s="80" t="s">
        <v>629</v>
      </c>
      <c r="D39" s="134">
        <f t="shared" si="4"/>
        <v>1150</v>
      </c>
      <c r="E39" s="139">
        <v>150</v>
      </c>
      <c r="F39" s="142">
        <v>1000</v>
      </c>
      <c r="G39" s="134">
        <f t="shared" si="5"/>
        <v>1839.8884499999999</v>
      </c>
      <c r="H39" s="137">
        <f>139.42+136.56249</f>
        <v>275.98248999999998</v>
      </c>
      <c r="I39" s="137">
        <f>1839.88845-H39</f>
        <v>1563.9059600000001</v>
      </c>
      <c r="J39" s="134">
        <f t="shared" si="6"/>
        <v>910.41640000000007</v>
      </c>
      <c r="K39" s="139">
        <f>81.3658+55.19669</f>
        <v>136.56249</v>
      </c>
      <c r="L39" s="142">
        <f>461.07291+312.781</f>
        <v>773.85391000000004</v>
      </c>
      <c r="M39" s="5">
        <f t="shared" si="1"/>
        <v>79.16664347826088</v>
      </c>
      <c r="N39" s="126">
        <v>55</v>
      </c>
      <c r="O39" s="15" t="s">
        <v>539</v>
      </c>
      <c r="P39" s="32">
        <v>53</v>
      </c>
      <c r="Q39" s="80" t="s">
        <v>448</v>
      </c>
      <c r="R39" s="4"/>
    </row>
    <row r="40" spans="2:19" ht="142.5" customHeight="1" x14ac:dyDescent="0.25">
      <c r="B40" s="6"/>
      <c r="C40" s="82" t="s">
        <v>460</v>
      </c>
      <c r="D40" s="134">
        <f t="shared" si="4"/>
        <v>20.357000000000003</v>
      </c>
      <c r="E40" s="139">
        <v>1.01789</v>
      </c>
      <c r="F40" s="141">
        <v>19.339110000000002</v>
      </c>
      <c r="G40" s="134">
        <f t="shared" si="5"/>
        <v>20.357000000000003</v>
      </c>
      <c r="H40" s="139">
        <v>1.01789</v>
      </c>
      <c r="I40" s="141">
        <v>19.339110000000002</v>
      </c>
      <c r="J40" s="134">
        <f t="shared" si="6"/>
        <v>20.357000000000003</v>
      </c>
      <c r="K40" s="139">
        <v>1.01789</v>
      </c>
      <c r="L40" s="141">
        <v>19.339110000000002</v>
      </c>
      <c r="M40" s="5">
        <f t="shared" si="1"/>
        <v>100</v>
      </c>
      <c r="N40" s="126"/>
      <c r="O40" s="185" t="s">
        <v>449</v>
      </c>
      <c r="P40" s="167">
        <v>30</v>
      </c>
      <c r="Q40" s="180" t="s">
        <v>456</v>
      </c>
      <c r="R40" s="4"/>
      <c r="S40" s="87"/>
    </row>
    <row r="41" spans="2:19" ht="112.5" x14ac:dyDescent="0.25">
      <c r="B41" s="6"/>
      <c r="C41" s="82" t="s">
        <v>461</v>
      </c>
      <c r="D41" s="134">
        <f t="shared" si="4"/>
        <v>15.084430000000001</v>
      </c>
      <c r="E41" s="139">
        <v>0.75458999999999998</v>
      </c>
      <c r="F41" s="141">
        <v>14.329840000000001</v>
      </c>
      <c r="G41" s="134">
        <f t="shared" si="5"/>
        <v>15.084430000000001</v>
      </c>
      <c r="H41" s="139">
        <v>0.75458999999999998</v>
      </c>
      <c r="I41" s="141">
        <v>14.329840000000001</v>
      </c>
      <c r="J41" s="134">
        <f t="shared" si="6"/>
        <v>15.084430000000001</v>
      </c>
      <c r="K41" s="139">
        <v>0.75458999999999998</v>
      </c>
      <c r="L41" s="141">
        <v>14.329840000000001</v>
      </c>
      <c r="M41" s="5">
        <f t="shared" si="1"/>
        <v>100</v>
      </c>
      <c r="N41" s="126"/>
      <c r="O41" s="185"/>
      <c r="P41" s="167"/>
      <c r="Q41" s="180"/>
      <c r="R41" s="4"/>
    </row>
    <row r="42" spans="2:19" ht="123.75" x14ac:dyDescent="0.25">
      <c r="B42" s="6"/>
      <c r="C42" s="82" t="s">
        <v>462</v>
      </c>
      <c r="D42" s="134">
        <f t="shared" si="4"/>
        <v>65.444130000000001</v>
      </c>
      <c r="E42" s="139">
        <v>3.2720099999999999</v>
      </c>
      <c r="F42" s="141">
        <v>62.17212</v>
      </c>
      <c r="G42" s="134">
        <f t="shared" si="5"/>
        <v>65.444130000000001</v>
      </c>
      <c r="H42" s="139">
        <v>3.2720099999999999</v>
      </c>
      <c r="I42" s="141">
        <v>62.17212</v>
      </c>
      <c r="J42" s="134">
        <f t="shared" si="6"/>
        <v>65.444130000000001</v>
      </c>
      <c r="K42" s="139">
        <v>3.2720099999999999</v>
      </c>
      <c r="L42" s="141">
        <v>62.17212</v>
      </c>
      <c r="M42" s="5">
        <f t="shared" si="1"/>
        <v>100</v>
      </c>
      <c r="N42" s="126"/>
      <c r="O42" s="185"/>
      <c r="P42" s="167"/>
      <c r="Q42" s="180"/>
      <c r="R42" s="4"/>
    </row>
    <row r="43" spans="2:19" ht="112.5" x14ac:dyDescent="0.25">
      <c r="B43" s="6"/>
      <c r="C43" s="82" t="s">
        <v>463</v>
      </c>
      <c r="D43" s="134">
        <f t="shared" si="4"/>
        <v>80.580849999999998</v>
      </c>
      <c r="E43" s="139">
        <v>4.0291300000000003</v>
      </c>
      <c r="F43" s="141">
        <v>76.551720000000003</v>
      </c>
      <c r="G43" s="134">
        <f t="shared" si="5"/>
        <v>80.580849999999998</v>
      </c>
      <c r="H43" s="139">
        <v>4.0291300000000003</v>
      </c>
      <c r="I43" s="141">
        <v>76.551720000000003</v>
      </c>
      <c r="J43" s="134">
        <f t="shared" si="6"/>
        <v>80.580849999999998</v>
      </c>
      <c r="K43" s="139">
        <v>4.0291300000000003</v>
      </c>
      <c r="L43" s="141">
        <v>76.551720000000003</v>
      </c>
      <c r="M43" s="5">
        <f t="shared" si="1"/>
        <v>100</v>
      </c>
      <c r="N43" s="126"/>
      <c r="O43" s="185"/>
      <c r="P43" s="167"/>
      <c r="Q43" s="180"/>
      <c r="R43" s="4"/>
    </row>
    <row r="44" spans="2:19" ht="123.75" x14ac:dyDescent="0.25">
      <c r="B44" s="6"/>
      <c r="C44" s="82" t="s">
        <v>464</v>
      </c>
      <c r="D44" s="134">
        <f t="shared" si="4"/>
        <v>79.088610000000003</v>
      </c>
      <c r="E44" s="139">
        <f>27.82932-0.75459</f>
        <v>27.074729999999999</v>
      </c>
      <c r="F44" s="141">
        <v>52.01388</v>
      </c>
      <c r="G44" s="134">
        <f t="shared" si="5"/>
        <v>79.088610000000003</v>
      </c>
      <c r="H44" s="139">
        <f>27.82932-0.75459</f>
        <v>27.074729999999999</v>
      </c>
      <c r="I44" s="141">
        <v>52.01388</v>
      </c>
      <c r="J44" s="134">
        <f t="shared" si="6"/>
        <v>79.088610000000003</v>
      </c>
      <c r="K44" s="139">
        <f>27.82932-0.75459</f>
        <v>27.074729999999999</v>
      </c>
      <c r="L44" s="141">
        <v>52.01388</v>
      </c>
      <c r="M44" s="5">
        <f t="shared" si="1"/>
        <v>100</v>
      </c>
      <c r="N44" s="126"/>
      <c r="O44" s="185"/>
      <c r="P44" s="167"/>
      <c r="Q44" s="180"/>
      <c r="R44" s="4"/>
    </row>
    <row r="45" spans="2:19" ht="123.75" x14ac:dyDescent="0.25">
      <c r="B45" s="6"/>
      <c r="C45" s="17" t="s">
        <v>465</v>
      </c>
      <c r="D45" s="134">
        <f t="shared" si="4"/>
        <v>38.422800000000002</v>
      </c>
      <c r="E45" s="139">
        <v>2.0676800000000002</v>
      </c>
      <c r="F45" s="141">
        <v>36.355119999999999</v>
      </c>
      <c r="G45" s="134">
        <f t="shared" si="5"/>
        <v>38.422800000000002</v>
      </c>
      <c r="H45" s="139">
        <v>2.0676800000000002</v>
      </c>
      <c r="I45" s="141">
        <v>36.355119999999999</v>
      </c>
      <c r="J45" s="134">
        <f t="shared" si="6"/>
        <v>38.422800000000002</v>
      </c>
      <c r="K45" s="139">
        <v>2.0676800000000002</v>
      </c>
      <c r="L45" s="141">
        <v>36.355119999999999</v>
      </c>
      <c r="M45" s="5">
        <f t="shared" si="1"/>
        <v>100</v>
      </c>
      <c r="N45" s="126"/>
      <c r="O45" s="181" t="s">
        <v>450</v>
      </c>
      <c r="P45" s="184">
        <v>17</v>
      </c>
      <c r="Q45" s="179" t="s">
        <v>630</v>
      </c>
      <c r="R45" s="4"/>
    </row>
    <row r="46" spans="2:19" ht="112.5" x14ac:dyDescent="0.25">
      <c r="B46" s="6"/>
      <c r="C46" s="17" t="s">
        <v>466</v>
      </c>
      <c r="D46" s="134">
        <f t="shared" si="4"/>
        <v>33.095770000000002</v>
      </c>
      <c r="E46" s="139">
        <v>1.89907</v>
      </c>
      <c r="F46" s="141">
        <v>31.1967</v>
      </c>
      <c r="G46" s="134">
        <f t="shared" si="5"/>
        <v>33.095770000000002</v>
      </c>
      <c r="H46" s="139">
        <v>1.89907</v>
      </c>
      <c r="I46" s="141">
        <v>31.1967</v>
      </c>
      <c r="J46" s="134">
        <f t="shared" si="6"/>
        <v>33.095770000000002</v>
      </c>
      <c r="K46" s="139">
        <v>1.89907</v>
      </c>
      <c r="L46" s="141">
        <v>31.1967</v>
      </c>
      <c r="M46" s="5">
        <f t="shared" si="1"/>
        <v>100</v>
      </c>
      <c r="N46" s="126"/>
      <c r="O46" s="181"/>
      <c r="P46" s="184"/>
      <c r="Q46" s="179"/>
      <c r="R46" s="4"/>
    </row>
    <row r="47" spans="2:19" ht="123.75" x14ac:dyDescent="0.25">
      <c r="B47" s="6"/>
      <c r="C47" s="17" t="s">
        <v>467</v>
      </c>
      <c r="D47" s="134">
        <f t="shared" si="4"/>
        <v>17.159969999999998</v>
      </c>
      <c r="E47" s="139">
        <f>0.00067+0.85802</f>
        <v>0.85868999999999995</v>
      </c>
      <c r="F47" s="141">
        <v>16.301279999999998</v>
      </c>
      <c r="G47" s="134">
        <f t="shared" si="5"/>
        <v>17.159969999999998</v>
      </c>
      <c r="H47" s="139">
        <f>0.00067+0.85802</f>
        <v>0.85868999999999995</v>
      </c>
      <c r="I47" s="141">
        <v>16.301279999999998</v>
      </c>
      <c r="J47" s="134">
        <f t="shared" si="6"/>
        <v>17.159969999999998</v>
      </c>
      <c r="K47" s="139">
        <f>0.00067+0.85802</f>
        <v>0.85868999999999995</v>
      </c>
      <c r="L47" s="141">
        <v>16.301279999999998</v>
      </c>
      <c r="M47" s="5">
        <f t="shared" si="1"/>
        <v>100</v>
      </c>
      <c r="N47" s="126"/>
      <c r="O47" s="181"/>
      <c r="P47" s="184"/>
      <c r="Q47" s="179"/>
      <c r="R47" s="4"/>
    </row>
    <row r="48" spans="2:19" ht="104.25" customHeight="1" x14ac:dyDescent="0.25">
      <c r="B48" s="6"/>
      <c r="C48" s="17" t="s">
        <v>468</v>
      </c>
      <c r="D48" s="134">
        <f t="shared" si="4"/>
        <v>116.54151</v>
      </c>
      <c r="E48" s="139">
        <v>5.4361600000000001</v>
      </c>
      <c r="F48" s="141">
        <v>111.10535</v>
      </c>
      <c r="G48" s="134">
        <f t="shared" si="5"/>
        <v>116.54084</v>
      </c>
      <c r="H48" s="139">
        <f>-0.00067+0.38735+5.04881</f>
        <v>5.4354899999999997</v>
      </c>
      <c r="I48" s="141">
        <v>111.10535</v>
      </c>
      <c r="J48" s="134">
        <f t="shared" si="6"/>
        <v>111.49203</v>
      </c>
      <c r="K48" s="139">
        <f>-0.00067+0.38735</f>
        <v>0.38668000000000002</v>
      </c>
      <c r="L48" s="141">
        <v>111.10535</v>
      </c>
      <c r="M48" s="5">
        <f t="shared" si="1"/>
        <v>95.667226209785682</v>
      </c>
      <c r="N48" s="126"/>
      <c r="O48" s="181"/>
      <c r="P48" s="184"/>
      <c r="Q48" s="179"/>
      <c r="R48" s="4"/>
    </row>
    <row r="49" spans="2:18" ht="106.5" x14ac:dyDescent="0.25">
      <c r="B49" s="6"/>
      <c r="C49" s="107" t="s">
        <v>631</v>
      </c>
      <c r="D49" s="134">
        <f t="shared" si="4"/>
        <v>77.878</v>
      </c>
      <c r="E49" s="137">
        <v>77.878</v>
      </c>
      <c r="F49" s="137"/>
      <c r="G49" s="134">
        <f t="shared" si="5"/>
        <v>389.38452999999998</v>
      </c>
      <c r="H49" s="137">
        <v>389.38452999999998</v>
      </c>
      <c r="I49" s="137"/>
      <c r="J49" s="134">
        <f t="shared" si="6"/>
        <v>0</v>
      </c>
      <c r="K49" s="139"/>
      <c r="L49" s="141"/>
      <c r="M49" s="5">
        <f t="shared" si="1"/>
        <v>0</v>
      </c>
      <c r="N49" s="126">
        <v>5</v>
      </c>
      <c r="O49" s="15" t="s">
        <v>511</v>
      </c>
      <c r="P49" s="76" t="s">
        <v>453</v>
      </c>
      <c r="Q49" s="108" t="s">
        <v>512</v>
      </c>
      <c r="R49" s="4"/>
    </row>
    <row r="50" spans="2:18" ht="72.75" customHeight="1" x14ac:dyDescent="0.25">
      <c r="B50" s="6"/>
      <c r="C50" s="105" t="s">
        <v>632</v>
      </c>
      <c r="D50" s="134">
        <f t="shared" si="4"/>
        <v>200.80177</v>
      </c>
      <c r="E50" s="137">
        <v>10.040089999999999</v>
      </c>
      <c r="F50" s="137">
        <v>190.76168000000001</v>
      </c>
      <c r="G50" s="134">
        <f t="shared" si="5"/>
        <v>200.80177</v>
      </c>
      <c r="H50" s="137">
        <v>10.040089999999999</v>
      </c>
      <c r="I50" s="137">
        <v>190.76168000000001</v>
      </c>
      <c r="J50" s="134">
        <f t="shared" si="6"/>
        <v>0</v>
      </c>
      <c r="K50" s="139"/>
      <c r="L50" s="141"/>
      <c r="M50" s="5">
        <f t="shared" si="1"/>
        <v>0</v>
      </c>
      <c r="N50" s="126">
        <v>100</v>
      </c>
      <c r="O50" s="15" t="s">
        <v>506</v>
      </c>
      <c r="P50" s="76">
        <v>36</v>
      </c>
      <c r="Q50" s="18" t="s">
        <v>518</v>
      </c>
      <c r="R50" s="4"/>
    </row>
    <row r="51" spans="2:18" ht="56.25" x14ac:dyDescent="0.25">
      <c r="B51" s="6"/>
      <c r="C51" s="107" t="s">
        <v>633</v>
      </c>
      <c r="D51" s="134">
        <f t="shared" si="4"/>
        <v>132</v>
      </c>
      <c r="E51" s="137">
        <v>132</v>
      </c>
      <c r="F51" s="137"/>
      <c r="G51" s="134">
        <f t="shared" si="5"/>
        <v>653.65300000000002</v>
      </c>
      <c r="H51" s="137">
        <v>653.65300000000002</v>
      </c>
      <c r="I51" s="137"/>
      <c r="J51" s="134">
        <f t="shared" si="6"/>
        <v>0</v>
      </c>
      <c r="K51" s="139"/>
      <c r="L51" s="141"/>
      <c r="M51" s="5">
        <f t="shared" si="1"/>
        <v>0</v>
      </c>
      <c r="N51" s="126">
        <v>8</v>
      </c>
      <c r="O51" s="15" t="s">
        <v>505</v>
      </c>
      <c r="P51" s="76">
        <v>67</v>
      </c>
      <c r="Q51" s="18" t="s">
        <v>518</v>
      </c>
      <c r="R51" s="4"/>
    </row>
    <row r="52" spans="2:18" ht="75" x14ac:dyDescent="0.25">
      <c r="B52" s="6"/>
      <c r="C52" s="107" t="s">
        <v>634</v>
      </c>
      <c r="D52" s="134">
        <f t="shared" si="4"/>
        <v>103.06</v>
      </c>
      <c r="E52" s="137">
        <v>103.06</v>
      </c>
      <c r="F52" s="137"/>
      <c r="G52" s="134">
        <f t="shared" ref="G52:G60" si="7">H52+I52</f>
        <v>515.29999999999995</v>
      </c>
      <c r="H52" s="137">
        <v>515.29999999999995</v>
      </c>
      <c r="I52" s="137"/>
      <c r="J52" s="134">
        <f t="shared" ref="J52:J60" si="8">K52+L52</f>
        <v>0</v>
      </c>
      <c r="K52" s="139"/>
      <c r="L52" s="141"/>
      <c r="M52" s="5">
        <f t="shared" si="1"/>
        <v>0</v>
      </c>
      <c r="N52" s="126">
        <v>5</v>
      </c>
      <c r="O52" s="15" t="s">
        <v>516</v>
      </c>
      <c r="P52" s="92" t="s">
        <v>454</v>
      </c>
      <c r="Q52" s="108" t="s">
        <v>514</v>
      </c>
      <c r="R52" s="4"/>
    </row>
    <row r="53" spans="2:18" ht="63.75" x14ac:dyDescent="0.25">
      <c r="B53" s="6"/>
      <c r="C53" s="107" t="s">
        <v>635</v>
      </c>
      <c r="D53" s="134">
        <f t="shared" si="4"/>
        <v>47.7</v>
      </c>
      <c r="E53" s="137">
        <v>47.7</v>
      </c>
      <c r="F53" s="137"/>
      <c r="G53" s="134">
        <f t="shared" si="7"/>
        <v>830</v>
      </c>
      <c r="H53" s="137">
        <v>830</v>
      </c>
      <c r="I53" s="137"/>
      <c r="J53" s="134">
        <f t="shared" si="8"/>
        <v>0</v>
      </c>
      <c r="K53" s="139"/>
      <c r="L53" s="141"/>
      <c r="M53" s="5">
        <f t="shared" si="1"/>
        <v>0</v>
      </c>
      <c r="N53" s="126">
        <v>5</v>
      </c>
      <c r="O53" s="15" t="s">
        <v>513</v>
      </c>
      <c r="P53" s="76" t="s">
        <v>455</v>
      </c>
      <c r="Q53" s="108" t="s">
        <v>514</v>
      </c>
      <c r="R53" s="4" t="s">
        <v>515</v>
      </c>
    </row>
    <row r="54" spans="2:18" ht="101.25" x14ac:dyDescent="0.25">
      <c r="B54" s="6"/>
      <c r="C54" s="106" t="s">
        <v>637</v>
      </c>
      <c r="D54" s="134">
        <f t="shared" si="4"/>
        <v>38.203000000000003</v>
      </c>
      <c r="E54" s="137">
        <v>38.203000000000003</v>
      </c>
      <c r="F54" s="137"/>
      <c r="G54" s="134">
        <f t="shared" si="7"/>
        <v>38.203000000000003</v>
      </c>
      <c r="H54" s="137">
        <v>38.203000000000003</v>
      </c>
      <c r="I54" s="137"/>
      <c r="J54" s="134">
        <f t="shared" si="8"/>
        <v>0</v>
      </c>
      <c r="K54" s="139"/>
      <c r="L54" s="141"/>
      <c r="M54" s="5">
        <f t="shared" si="1"/>
        <v>0</v>
      </c>
      <c r="N54" s="126"/>
      <c r="O54" s="15" t="s">
        <v>507</v>
      </c>
      <c r="P54" s="76">
        <v>37</v>
      </c>
      <c r="Q54" s="105" t="s">
        <v>519</v>
      </c>
      <c r="R54" s="4"/>
    </row>
    <row r="55" spans="2:18" ht="106.5" customHeight="1" x14ac:dyDescent="0.25">
      <c r="B55" s="6"/>
      <c r="C55" s="107" t="s">
        <v>636</v>
      </c>
      <c r="D55" s="134">
        <f t="shared" si="4"/>
        <v>11.227410000000001</v>
      </c>
      <c r="E55" s="137">
        <v>11.227410000000001</v>
      </c>
      <c r="F55" s="137"/>
      <c r="G55" s="134">
        <f t="shared" si="7"/>
        <v>11.227410000000001</v>
      </c>
      <c r="H55" s="137">
        <v>11.227410000000001</v>
      </c>
      <c r="I55" s="137"/>
      <c r="J55" s="134">
        <f t="shared" si="8"/>
        <v>0</v>
      </c>
      <c r="K55" s="139"/>
      <c r="L55" s="141"/>
      <c r="M55" s="5">
        <f t="shared" si="1"/>
        <v>0</v>
      </c>
      <c r="N55" s="126"/>
      <c r="O55" s="15" t="s">
        <v>517</v>
      </c>
      <c r="P55" s="76" t="s">
        <v>400</v>
      </c>
      <c r="Q55" s="108" t="s">
        <v>403</v>
      </c>
      <c r="R55" s="4"/>
    </row>
    <row r="56" spans="2:18" x14ac:dyDescent="0.25">
      <c r="B56" s="6"/>
      <c r="C56" s="19" t="s">
        <v>508</v>
      </c>
      <c r="D56" s="134">
        <f t="shared" si="4"/>
        <v>400</v>
      </c>
      <c r="E56" s="137"/>
      <c r="F56" s="137">
        <v>400</v>
      </c>
      <c r="G56" s="134">
        <f t="shared" si="7"/>
        <v>0</v>
      </c>
      <c r="H56" s="137"/>
      <c r="I56" s="137"/>
      <c r="J56" s="134">
        <f t="shared" si="8"/>
        <v>0</v>
      </c>
      <c r="K56" s="139"/>
      <c r="L56" s="141"/>
      <c r="M56" s="5">
        <f t="shared" si="1"/>
        <v>0</v>
      </c>
      <c r="N56" s="126"/>
      <c r="O56" s="15"/>
      <c r="P56" s="76"/>
      <c r="Q56" s="18"/>
      <c r="R56" s="4"/>
    </row>
    <row r="57" spans="2:18" x14ac:dyDescent="0.25">
      <c r="B57" s="6"/>
      <c r="C57" s="16" t="s">
        <v>64</v>
      </c>
      <c r="D57" s="134">
        <f t="shared" ref="D57:D60" si="9">E57+F57</f>
        <v>5.1000000000000004E-4</v>
      </c>
      <c r="E57" s="136"/>
      <c r="F57" s="134">
        <v>5.1000000000000004E-4</v>
      </c>
      <c r="G57" s="134">
        <f t="shared" si="7"/>
        <v>0</v>
      </c>
      <c r="H57" s="140"/>
      <c r="I57" s="140"/>
      <c r="J57" s="134">
        <f t="shared" si="8"/>
        <v>0</v>
      </c>
      <c r="K57" s="137"/>
      <c r="L57" s="139"/>
      <c r="M57" s="5">
        <f t="shared" ref="M57:M60" si="10">J57/D57%</f>
        <v>0</v>
      </c>
      <c r="N57" s="126"/>
      <c r="O57" s="6"/>
      <c r="P57" s="12"/>
      <c r="Q57" s="17"/>
      <c r="R57" s="4"/>
    </row>
    <row r="58" spans="2:18" x14ac:dyDescent="0.25">
      <c r="B58" s="6"/>
      <c r="C58" s="19" t="s">
        <v>65</v>
      </c>
      <c r="D58" s="134">
        <f t="shared" si="9"/>
        <v>8.0647900000000003</v>
      </c>
      <c r="E58" s="136"/>
      <c r="F58" s="134">
        <v>8.0647900000000003</v>
      </c>
      <c r="G58" s="134">
        <f t="shared" si="7"/>
        <v>0</v>
      </c>
      <c r="H58" s="140"/>
      <c r="I58" s="140"/>
      <c r="J58" s="134">
        <f t="shared" si="8"/>
        <v>0</v>
      </c>
      <c r="K58" s="137"/>
      <c r="L58" s="139"/>
      <c r="M58" s="5">
        <f t="shared" si="10"/>
        <v>0</v>
      </c>
      <c r="N58" s="126"/>
      <c r="O58" s="6"/>
      <c r="P58" s="12"/>
      <c r="Q58" s="17"/>
      <c r="R58" s="4"/>
    </row>
    <row r="59" spans="2:18" x14ac:dyDescent="0.25">
      <c r="B59" s="6"/>
      <c r="C59" s="19" t="s">
        <v>66</v>
      </c>
      <c r="D59" s="134">
        <f t="shared" si="9"/>
        <v>1.01E-3</v>
      </c>
      <c r="E59" s="136"/>
      <c r="F59" s="134">
        <v>1.01E-3</v>
      </c>
      <c r="G59" s="134">
        <f t="shared" si="7"/>
        <v>0</v>
      </c>
      <c r="H59" s="140"/>
      <c r="I59" s="140"/>
      <c r="J59" s="134">
        <f t="shared" si="8"/>
        <v>0</v>
      </c>
      <c r="K59" s="137"/>
      <c r="L59" s="139"/>
      <c r="M59" s="5">
        <f t="shared" si="10"/>
        <v>0</v>
      </c>
      <c r="N59" s="126"/>
      <c r="O59" s="6"/>
      <c r="P59" s="12"/>
      <c r="Q59" s="17"/>
      <c r="R59" s="4"/>
    </row>
    <row r="60" spans="2:18" x14ac:dyDescent="0.25">
      <c r="B60" s="6"/>
      <c r="C60" s="26"/>
      <c r="D60" s="134">
        <f t="shared" si="9"/>
        <v>102.0916</v>
      </c>
      <c r="E60" s="137">
        <v>102.0916</v>
      </c>
      <c r="F60" s="137"/>
      <c r="G60" s="134">
        <f t="shared" si="7"/>
        <v>0</v>
      </c>
      <c r="H60" s="137"/>
      <c r="I60" s="137"/>
      <c r="J60" s="134">
        <f t="shared" si="8"/>
        <v>0</v>
      </c>
      <c r="K60" s="139"/>
      <c r="L60" s="141"/>
      <c r="M60" s="5">
        <f t="shared" si="10"/>
        <v>0</v>
      </c>
      <c r="N60" s="126"/>
      <c r="O60" s="15"/>
      <c r="P60" s="76"/>
      <c r="Q60" s="21"/>
      <c r="R60" s="4"/>
    </row>
    <row r="61" spans="2:18" x14ac:dyDescent="0.25">
      <c r="B61" s="6"/>
      <c r="C61" s="35" t="s">
        <v>19</v>
      </c>
      <c r="D61" s="134">
        <f t="shared" si="4"/>
        <v>6869.6390400000018</v>
      </c>
      <c r="E61" s="134">
        <f>SUM(E19:E60)</f>
        <v>1391.0810000000001</v>
      </c>
      <c r="F61" s="134">
        <f>SUM(F19:F60)</f>
        <v>5478.5580400000017</v>
      </c>
      <c r="G61" s="134">
        <f t="shared" si="5"/>
        <v>11335.510800000002</v>
      </c>
      <c r="H61" s="134">
        <f>SUM(H19:H60)</f>
        <v>4669.1942100000006</v>
      </c>
      <c r="I61" s="134">
        <f>SUM(I19:I60)</f>
        <v>6666.3165900000013</v>
      </c>
      <c r="J61" s="134">
        <f t="shared" si="6"/>
        <v>3549.39039</v>
      </c>
      <c r="K61" s="134">
        <f>SUM(K19:K60)</f>
        <v>604.86114000000009</v>
      </c>
      <c r="L61" s="134">
        <f>SUM(L19:L60)</f>
        <v>2944.52925</v>
      </c>
      <c r="M61" s="5">
        <f t="shared" si="1"/>
        <v>51.667785881221491</v>
      </c>
      <c r="N61" s="126"/>
      <c r="O61" s="6"/>
      <c r="P61" s="76"/>
      <c r="Q61" s="7"/>
      <c r="R61" s="4"/>
    </row>
    <row r="62" spans="2:18" x14ac:dyDescent="0.25">
      <c r="B62" s="6"/>
      <c r="C62" s="35"/>
      <c r="D62" s="134"/>
      <c r="E62" s="134"/>
      <c r="F62" s="134"/>
      <c r="G62" s="134"/>
      <c r="H62" s="134"/>
      <c r="I62" s="134"/>
      <c r="J62" s="134"/>
      <c r="K62" s="134"/>
      <c r="L62" s="134"/>
      <c r="M62" s="5"/>
      <c r="N62" s="126"/>
      <c r="O62" s="6"/>
      <c r="P62" s="76"/>
      <c r="Q62" s="7"/>
      <c r="R62" s="8"/>
    </row>
    <row r="63" spans="2:18" x14ac:dyDescent="0.25">
      <c r="B63" s="6"/>
      <c r="C63" s="35"/>
      <c r="D63" s="134"/>
      <c r="E63" s="134"/>
      <c r="F63" s="134"/>
      <c r="G63" s="134"/>
      <c r="H63" s="134"/>
      <c r="I63" s="134"/>
      <c r="J63" s="134"/>
      <c r="K63" s="134"/>
      <c r="L63" s="134"/>
      <c r="M63" s="5"/>
      <c r="N63" s="126"/>
      <c r="O63" s="6"/>
      <c r="P63" s="76"/>
      <c r="Q63" s="7"/>
      <c r="R63" s="8"/>
    </row>
    <row r="64" spans="2:18" ht="38.25" x14ac:dyDescent="0.25">
      <c r="B64" s="6" t="s">
        <v>68</v>
      </c>
      <c r="C64" s="35" t="s">
        <v>69</v>
      </c>
      <c r="D64" s="134"/>
      <c r="E64" s="134"/>
      <c r="F64" s="134"/>
      <c r="G64" s="134"/>
      <c r="H64" s="134"/>
      <c r="I64" s="134"/>
      <c r="J64" s="134"/>
      <c r="K64" s="134"/>
      <c r="L64" s="134"/>
      <c r="M64" s="5"/>
      <c r="N64" s="126"/>
      <c r="O64" s="6"/>
      <c r="P64" s="76"/>
      <c r="Q64" s="7"/>
      <c r="R64" s="4"/>
    </row>
    <row r="65" spans="2:18" ht="90" x14ac:dyDescent="0.25">
      <c r="B65" s="6"/>
      <c r="C65" s="26" t="s">
        <v>70</v>
      </c>
      <c r="D65" s="134">
        <f t="shared" si="4"/>
        <v>1.208</v>
      </c>
      <c r="E65" s="143">
        <v>1.208</v>
      </c>
      <c r="F65" s="134"/>
      <c r="G65" s="134">
        <f t="shared" si="5"/>
        <v>1.208</v>
      </c>
      <c r="H65" s="143">
        <v>1.208</v>
      </c>
      <c r="I65" s="134"/>
      <c r="J65" s="134">
        <f t="shared" si="6"/>
        <v>1.208</v>
      </c>
      <c r="K65" s="134">
        <v>1.208</v>
      </c>
      <c r="L65" s="134"/>
      <c r="M65" s="5">
        <f t="shared" ref="M65:M119" si="11">J65/D65%</f>
        <v>100</v>
      </c>
      <c r="N65" s="126"/>
      <c r="O65" s="6" t="s">
        <v>71</v>
      </c>
      <c r="P65" s="76">
        <v>16</v>
      </c>
      <c r="Q65" s="19" t="s">
        <v>72</v>
      </c>
      <c r="R65" s="8"/>
    </row>
    <row r="66" spans="2:18" ht="67.5" x14ac:dyDescent="0.25">
      <c r="B66" s="6"/>
      <c r="C66" s="19" t="s">
        <v>600</v>
      </c>
      <c r="D66" s="134">
        <f t="shared" si="4"/>
        <v>3.7488000000000001</v>
      </c>
      <c r="E66" s="134">
        <v>3.7488000000000001</v>
      </c>
      <c r="F66" s="134"/>
      <c r="G66" s="134">
        <f t="shared" si="5"/>
        <v>3.7480000000000002</v>
      </c>
      <c r="H66" s="134">
        <v>3.7480000000000002</v>
      </c>
      <c r="I66" s="134"/>
      <c r="J66" s="134">
        <f t="shared" si="6"/>
        <v>2.8116000000000003</v>
      </c>
      <c r="K66" s="134">
        <f>0.9372+1.8744</f>
        <v>2.8116000000000003</v>
      </c>
      <c r="L66" s="134"/>
      <c r="M66" s="5">
        <f t="shared" si="11"/>
        <v>75.000000000000014</v>
      </c>
      <c r="N66" s="126"/>
      <c r="O66" s="6" t="s">
        <v>73</v>
      </c>
      <c r="P66" s="76" t="s">
        <v>74</v>
      </c>
      <c r="Q66" s="19" t="s">
        <v>75</v>
      </c>
      <c r="R66" s="4"/>
    </row>
    <row r="67" spans="2:18" ht="15" customHeight="1" x14ac:dyDescent="0.25">
      <c r="B67" s="6"/>
      <c r="C67" s="19"/>
      <c r="D67" s="134">
        <f t="shared" si="4"/>
        <v>8.0000000000000004E-4</v>
      </c>
      <c r="E67" s="134">
        <v>8.0000000000000004E-4</v>
      </c>
      <c r="F67" s="134"/>
      <c r="G67" s="134">
        <f t="shared" si="5"/>
        <v>0</v>
      </c>
      <c r="H67" s="134"/>
      <c r="I67" s="134"/>
      <c r="J67" s="134">
        <f t="shared" si="6"/>
        <v>0</v>
      </c>
      <c r="K67" s="134"/>
      <c r="L67" s="134"/>
      <c r="M67" s="5">
        <f t="shared" si="11"/>
        <v>0</v>
      </c>
      <c r="N67" s="126"/>
      <c r="O67" s="6"/>
      <c r="P67" s="76"/>
      <c r="Q67" s="19"/>
      <c r="R67" s="4"/>
    </row>
    <row r="68" spans="2:18" x14ac:dyDescent="0.25">
      <c r="B68" s="6"/>
      <c r="C68" s="27" t="s">
        <v>19</v>
      </c>
      <c r="D68" s="134">
        <f t="shared" si="4"/>
        <v>4.9576000000000002</v>
      </c>
      <c r="E68" s="134">
        <f>SUM(E65:E67)</f>
        <v>4.9576000000000002</v>
      </c>
      <c r="F68" s="134">
        <f>SUM(F65:F67)</f>
        <v>0</v>
      </c>
      <c r="G68" s="134">
        <f t="shared" si="5"/>
        <v>4.9560000000000004</v>
      </c>
      <c r="H68" s="134">
        <f>SUM(H65:H67)</f>
        <v>4.9560000000000004</v>
      </c>
      <c r="I68" s="134">
        <f>SUM(I65:I67)</f>
        <v>0</v>
      </c>
      <c r="J68" s="134">
        <f t="shared" si="6"/>
        <v>4.0196000000000005</v>
      </c>
      <c r="K68" s="134">
        <f>SUM(K65:K67)</f>
        <v>4.0196000000000005</v>
      </c>
      <c r="L68" s="134">
        <f>SUM(L65:L67)</f>
        <v>0</v>
      </c>
      <c r="M68" s="5">
        <f t="shared" si="11"/>
        <v>81.079554623204785</v>
      </c>
      <c r="N68" s="126"/>
      <c r="O68" s="6"/>
      <c r="P68" s="76"/>
      <c r="Q68" s="95"/>
      <c r="R68" s="8"/>
    </row>
    <row r="69" spans="2:18" x14ac:dyDescent="0.25">
      <c r="B69" s="6"/>
      <c r="C69" s="27"/>
      <c r="D69" s="134"/>
      <c r="E69" s="134"/>
      <c r="F69" s="134"/>
      <c r="G69" s="134"/>
      <c r="H69" s="134"/>
      <c r="I69" s="134"/>
      <c r="J69" s="134"/>
      <c r="K69" s="134"/>
      <c r="L69" s="134"/>
      <c r="M69" s="5"/>
      <c r="N69" s="126"/>
      <c r="O69" s="6"/>
      <c r="P69" s="76"/>
      <c r="Q69" s="95"/>
      <c r="R69" s="4"/>
    </row>
    <row r="70" spans="2:18" ht="38.25" x14ac:dyDescent="0.25">
      <c r="B70" s="42" t="s">
        <v>76</v>
      </c>
      <c r="C70" s="30" t="s">
        <v>77</v>
      </c>
      <c r="D70" s="134"/>
      <c r="E70" s="133"/>
      <c r="F70" s="133"/>
      <c r="G70" s="134"/>
      <c r="H70" s="133"/>
      <c r="I70" s="133"/>
      <c r="J70" s="134"/>
      <c r="K70" s="133"/>
      <c r="L70" s="133"/>
      <c r="M70" s="5"/>
      <c r="N70" s="126"/>
      <c r="O70" s="3"/>
      <c r="P70" s="79"/>
      <c r="Q70" s="3"/>
      <c r="R70" s="4"/>
    </row>
    <row r="71" spans="2:18" ht="67.5" x14ac:dyDescent="0.25">
      <c r="B71" s="6" t="s">
        <v>78</v>
      </c>
      <c r="C71" s="26" t="s">
        <v>79</v>
      </c>
      <c r="D71" s="134">
        <f t="shared" si="4"/>
        <v>176.6223</v>
      </c>
      <c r="E71" s="137">
        <v>176.6223</v>
      </c>
      <c r="F71" s="137"/>
      <c r="G71" s="134">
        <f t="shared" si="5"/>
        <v>322.37652000000003</v>
      </c>
      <c r="H71" s="137">
        <v>322.37652000000003</v>
      </c>
      <c r="I71" s="137"/>
      <c r="J71" s="134">
        <f t="shared" si="6"/>
        <v>176.6223</v>
      </c>
      <c r="K71" s="137">
        <f>27.90367+92.37652+27.73787+28.60424</f>
        <v>176.6223</v>
      </c>
      <c r="L71" s="137"/>
      <c r="M71" s="5">
        <f t="shared" si="11"/>
        <v>100</v>
      </c>
      <c r="N71" s="126"/>
      <c r="O71" s="20"/>
      <c r="P71" s="88" t="s">
        <v>80</v>
      </c>
      <c r="Q71" s="21" t="s">
        <v>81</v>
      </c>
      <c r="R71" s="8"/>
    </row>
    <row r="72" spans="2:18" ht="76.5" x14ac:dyDescent="0.25">
      <c r="B72" s="6"/>
      <c r="C72" s="26" t="s">
        <v>82</v>
      </c>
      <c r="D72" s="134">
        <f t="shared" si="4"/>
        <v>0.5</v>
      </c>
      <c r="E72" s="134">
        <v>0.5</v>
      </c>
      <c r="F72" s="137"/>
      <c r="G72" s="134">
        <f t="shared" si="5"/>
        <v>0.5</v>
      </c>
      <c r="H72" s="137">
        <v>0.5</v>
      </c>
      <c r="I72" s="137"/>
      <c r="J72" s="134">
        <f t="shared" si="6"/>
        <v>0.5</v>
      </c>
      <c r="K72" s="137">
        <v>0.5</v>
      </c>
      <c r="L72" s="137"/>
      <c r="M72" s="5">
        <f t="shared" si="11"/>
        <v>100</v>
      </c>
      <c r="N72" s="126"/>
      <c r="O72" s="20" t="s">
        <v>83</v>
      </c>
      <c r="P72" s="64" t="s">
        <v>84</v>
      </c>
      <c r="Q72" s="22" t="s">
        <v>85</v>
      </c>
      <c r="R72" s="8"/>
    </row>
    <row r="73" spans="2:18" ht="76.5" x14ac:dyDescent="0.25">
      <c r="B73" s="6"/>
      <c r="C73" s="26" t="s">
        <v>86</v>
      </c>
      <c r="D73" s="134">
        <f t="shared" si="4"/>
        <v>0.56999999999999995</v>
      </c>
      <c r="E73" s="142">
        <v>0.56999999999999995</v>
      </c>
      <c r="F73" s="134"/>
      <c r="G73" s="134">
        <f t="shared" si="5"/>
        <v>0.56999999999999995</v>
      </c>
      <c r="H73" s="142">
        <v>0.56999999999999995</v>
      </c>
      <c r="I73" s="144"/>
      <c r="J73" s="134">
        <f t="shared" si="6"/>
        <v>0.56999999999999995</v>
      </c>
      <c r="K73" s="134">
        <v>0.56999999999999995</v>
      </c>
      <c r="L73" s="134"/>
      <c r="M73" s="5">
        <f t="shared" si="11"/>
        <v>100</v>
      </c>
      <c r="N73" s="126"/>
      <c r="O73" s="23" t="s">
        <v>87</v>
      </c>
      <c r="P73" s="64" t="s">
        <v>88</v>
      </c>
      <c r="Q73" s="22" t="s">
        <v>85</v>
      </c>
      <c r="R73" s="8"/>
    </row>
    <row r="74" spans="2:18" ht="56.25" x14ac:dyDescent="0.25">
      <c r="B74" s="6"/>
      <c r="C74" s="24" t="s">
        <v>89</v>
      </c>
      <c r="D74" s="134">
        <f t="shared" si="4"/>
        <v>0.71140000000000003</v>
      </c>
      <c r="E74" s="136">
        <v>0.71140000000000003</v>
      </c>
      <c r="F74" s="137"/>
      <c r="G74" s="134">
        <f t="shared" si="5"/>
        <v>0.71140000000000003</v>
      </c>
      <c r="H74" s="136">
        <v>0.71140000000000003</v>
      </c>
      <c r="I74" s="137"/>
      <c r="J74" s="134">
        <f t="shared" si="6"/>
        <v>0.71140000000000003</v>
      </c>
      <c r="K74" s="137">
        <v>0.71140000000000003</v>
      </c>
      <c r="L74" s="137"/>
      <c r="M74" s="5">
        <f t="shared" si="11"/>
        <v>100</v>
      </c>
      <c r="N74" s="126"/>
      <c r="O74" s="20" t="s">
        <v>540</v>
      </c>
      <c r="P74" s="64" t="s">
        <v>90</v>
      </c>
      <c r="Q74" s="25" t="s">
        <v>91</v>
      </c>
      <c r="R74" s="8"/>
    </row>
    <row r="75" spans="2:18" ht="56.25" x14ac:dyDescent="0.25">
      <c r="B75" s="6"/>
      <c r="C75" s="74" t="s">
        <v>393</v>
      </c>
      <c r="D75" s="134">
        <f t="shared" si="4"/>
        <v>1.25</v>
      </c>
      <c r="E75" s="136">
        <v>1.25</v>
      </c>
      <c r="F75" s="136"/>
      <c r="G75" s="134">
        <f t="shared" si="5"/>
        <v>1.25</v>
      </c>
      <c r="H75" s="136">
        <v>1.25</v>
      </c>
      <c r="I75" s="137"/>
      <c r="J75" s="134">
        <f t="shared" si="6"/>
        <v>1.25</v>
      </c>
      <c r="K75" s="137">
        <v>1.25</v>
      </c>
      <c r="L75" s="137"/>
      <c r="M75" s="5">
        <f t="shared" ref="M75:M76" si="12">J75/D75%</f>
        <v>100</v>
      </c>
      <c r="N75" s="126"/>
      <c r="O75" s="29" t="s">
        <v>541</v>
      </c>
      <c r="P75" s="12" t="s">
        <v>395</v>
      </c>
      <c r="Q75" s="81" t="s">
        <v>394</v>
      </c>
      <c r="R75" s="8"/>
    </row>
    <row r="76" spans="2:18" ht="56.25" x14ac:dyDescent="0.25">
      <c r="B76" s="6"/>
      <c r="C76" s="80" t="s">
        <v>419</v>
      </c>
      <c r="D76" s="134">
        <f t="shared" si="4"/>
        <v>1.75</v>
      </c>
      <c r="E76" s="136">
        <v>1.75</v>
      </c>
      <c r="F76" s="136"/>
      <c r="G76" s="134">
        <f t="shared" si="5"/>
        <v>1.75</v>
      </c>
      <c r="H76" s="136">
        <v>1.75</v>
      </c>
      <c r="I76" s="137"/>
      <c r="J76" s="134">
        <f t="shared" si="6"/>
        <v>1.75</v>
      </c>
      <c r="K76" s="137">
        <v>1.75</v>
      </c>
      <c r="L76" s="137"/>
      <c r="M76" s="5">
        <f t="shared" si="12"/>
        <v>99.999999999999986</v>
      </c>
      <c r="N76" s="126"/>
      <c r="O76" s="29" t="s">
        <v>542</v>
      </c>
      <c r="P76" s="12" t="s">
        <v>420</v>
      </c>
      <c r="Q76" s="80" t="s">
        <v>394</v>
      </c>
      <c r="R76" s="8"/>
    </row>
    <row r="77" spans="2:18" x14ac:dyDescent="0.25">
      <c r="B77" s="6" t="s">
        <v>78</v>
      </c>
      <c r="C77" s="24" t="s">
        <v>67</v>
      </c>
      <c r="D77" s="134">
        <f t="shared" si="4"/>
        <v>2.9999999999999997E-4</v>
      </c>
      <c r="E77" s="136">
        <v>2.9999999999999997E-4</v>
      </c>
      <c r="F77" s="137"/>
      <c r="G77" s="134">
        <f t="shared" si="5"/>
        <v>5.8420800000000002</v>
      </c>
      <c r="H77" s="136">
        <v>5.8420800000000002</v>
      </c>
      <c r="I77" s="137"/>
      <c r="J77" s="134">
        <f t="shared" si="6"/>
        <v>0</v>
      </c>
      <c r="K77" s="137"/>
      <c r="L77" s="137"/>
      <c r="M77" s="5">
        <f t="shared" si="11"/>
        <v>0</v>
      </c>
      <c r="N77" s="126"/>
      <c r="O77" s="20"/>
      <c r="P77" s="64"/>
      <c r="Q77" s="25"/>
      <c r="R77" s="8"/>
    </row>
    <row r="78" spans="2:18" ht="67.5" x14ac:dyDescent="0.25">
      <c r="B78" s="6"/>
      <c r="C78" s="93" t="s">
        <v>92</v>
      </c>
      <c r="D78" s="134">
        <f t="shared" si="4"/>
        <v>0.8</v>
      </c>
      <c r="E78" s="136">
        <v>0.8</v>
      </c>
      <c r="F78" s="137"/>
      <c r="G78" s="134">
        <f t="shared" si="5"/>
        <v>0.6</v>
      </c>
      <c r="H78" s="136">
        <v>0.6</v>
      </c>
      <c r="I78" s="137"/>
      <c r="J78" s="134">
        <f t="shared" si="6"/>
        <v>0.8</v>
      </c>
      <c r="K78" s="137">
        <v>0.8</v>
      </c>
      <c r="L78" s="137"/>
      <c r="M78" s="5">
        <f t="shared" si="11"/>
        <v>100</v>
      </c>
      <c r="N78" s="126"/>
      <c r="O78" s="20"/>
      <c r="P78" s="64" t="s">
        <v>93</v>
      </c>
      <c r="Q78" s="25" t="s">
        <v>94</v>
      </c>
      <c r="R78" s="4"/>
    </row>
    <row r="79" spans="2:18" ht="90" x14ac:dyDescent="0.25">
      <c r="B79" s="6"/>
      <c r="C79" s="24" t="s">
        <v>95</v>
      </c>
      <c r="D79" s="134">
        <f t="shared" si="4"/>
        <v>0.2</v>
      </c>
      <c r="E79" s="137">
        <v>0.2</v>
      </c>
      <c r="F79" s="136"/>
      <c r="G79" s="134">
        <f t="shared" si="5"/>
        <v>0.2</v>
      </c>
      <c r="H79" s="145">
        <v>0.2</v>
      </c>
      <c r="I79" s="137"/>
      <c r="J79" s="134">
        <f t="shared" si="6"/>
        <v>0.2</v>
      </c>
      <c r="K79" s="137">
        <v>0.2</v>
      </c>
      <c r="L79" s="137"/>
      <c r="M79" s="5">
        <f t="shared" si="11"/>
        <v>100</v>
      </c>
      <c r="N79" s="126"/>
      <c r="O79" s="20"/>
      <c r="P79" s="64" t="s">
        <v>96</v>
      </c>
      <c r="Q79" s="25" t="s">
        <v>94</v>
      </c>
      <c r="R79" s="4"/>
    </row>
    <row r="80" spans="2:18" ht="51" x14ac:dyDescent="0.25">
      <c r="B80" s="6"/>
      <c r="C80" s="26" t="s">
        <v>97</v>
      </c>
      <c r="D80" s="134">
        <f t="shared" si="4"/>
        <v>74.540790000000001</v>
      </c>
      <c r="E80" s="136">
        <v>74.540790000000001</v>
      </c>
      <c r="F80" s="137"/>
      <c r="G80" s="134">
        <f t="shared" si="5"/>
        <v>74.540790000000001</v>
      </c>
      <c r="H80" s="136">
        <v>74.540790000000001</v>
      </c>
      <c r="I80" s="137"/>
      <c r="J80" s="134">
        <f t="shared" si="6"/>
        <v>74.540790000000001</v>
      </c>
      <c r="K80" s="137">
        <v>74.540790000000001</v>
      </c>
      <c r="L80" s="137"/>
      <c r="M80" s="5">
        <f t="shared" si="11"/>
        <v>100</v>
      </c>
      <c r="N80" s="126">
        <v>100</v>
      </c>
      <c r="O80" s="20" t="s">
        <v>98</v>
      </c>
      <c r="P80" s="64">
        <v>115</v>
      </c>
      <c r="Q80" s="25" t="s">
        <v>99</v>
      </c>
      <c r="R80" s="4"/>
    </row>
    <row r="81" spans="2:18" ht="90" x14ac:dyDescent="0.25">
      <c r="B81" s="6"/>
      <c r="C81" s="26" t="s">
        <v>100</v>
      </c>
      <c r="D81" s="134">
        <f t="shared" si="4"/>
        <v>7.7575000000000003</v>
      </c>
      <c r="E81" s="136">
        <v>7.7575000000000003</v>
      </c>
      <c r="F81" s="137"/>
      <c r="G81" s="134">
        <f t="shared" si="5"/>
        <v>7.7575000000000003</v>
      </c>
      <c r="H81" s="136">
        <v>7.7575000000000003</v>
      </c>
      <c r="I81" s="137"/>
      <c r="J81" s="134">
        <f t="shared" si="6"/>
        <v>7.7575000000000003</v>
      </c>
      <c r="K81" s="137">
        <v>7.7575000000000003</v>
      </c>
      <c r="L81" s="137"/>
      <c r="M81" s="5">
        <f t="shared" si="11"/>
        <v>100</v>
      </c>
      <c r="N81" s="126"/>
      <c r="O81" s="186" t="s">
        <v>101</v>
      </c>
      <c r="P81" s="192" t="s">
        <v>102</v>
      </c>
      <c r="Q81" s="177" t="s">
        <v>103</v>
      </c>
      <c r="R81" s="4"/>
    </row>
    <row r="82" spans="2:18" ht="90" x14ac:dyDescent="0.25">
      <c r="B82" s="6"/>
      <c r="C82" s="81" t="s">
        <v>392</v>
      </c>
      <c r="D82" s="134">
        <f t="shared" si="4"/>
        <v>46.980350000000001</v>
      </c>
      <c r="E82" s="137">
        <v>46.980350000000001</v>
      </c>
      <c r="F82" s="137"/>
      <c r="G82" s="134">
        <f t="shared" si="5"/>
        <v>46.980350000000001</v>
      </c>
      <c r="H82" s="136">
        <v>46.980350000000001</v>
      </c>
      <c r="I82" s="137"/>
      <c r="J82" s="134">
        <f t="shared" si="6"/>
        <v>46.980350000000001</v>
      </c>
      <c r="K82" s="137">
        <v>46.980350000000001</v>
      </c>
      <c r="L82" s="137"/>
      <c r="M82" s="5">
        <f t="shared" si="11"/>
        <v>100</v>
      </c>
      <c r="N82" s="126"/>
      <c r="O82" s="186"/>
      <c r="P82" s="192"/>
      <c r="Q82" s="177"/>
      <c r="R82" s="4"/>
    </row>
    <row r="83" spans="2:18" ht="90" x14ac:dyDescent="0.25">
      <c r="B83" s="6"/>
      <c r="C83" s="104" t="s">
        <v>104</v>
      </c>
      <c r="D83" s="134">
        <f t="shared" si="4"/>
        <v>5.9171500000000004</v>
      </c>
      <c r="E83" s="142">
        <v>5.9171500000000004</v>
      </c>
      <c r="F83" s="134"/>
      <c r="G83" s="134">
        <f t="shared" si="5"/>
        <v>5.9171500000000004</v>
      </c>
      <c r="H83" s="142">
        <v>5.9171500000000004</v>
      </c>
      <c r="I83" s="144"/>
      <c r="J83" s="134">
        <f t="shared" si="6"/>
        <v>5.9171500000000004</v>
      </c>
      <c r="K83" s="134">
        <v>5.9171500000000004</v>
      </c>
      <c r="L83" s="134"/>
      <c r="M83" s="5">
        <f t="shared" si="11"/>
        <v>100</v>
      </c>
      <c r="N83" s="126"/>
      <c r="O83" s="23" t="s">
        <v>105</v>
      </c>
      <c r="P83" s="75" t="s">
        <v>106</v>
      </c>
      <c r="Q83" s="21" t="s">
        <v>107</v>
      </c>
      <c r="R83" s="4"/>
    </row>
    <row r="84" spans="2:18" ht="135.75" x14ac:dyDescent="0.25">
      <c r="B84" s="6"/>
      <c r="C84" s="26" t="s">
        <v>601</v>
      </c>
      <c r="D84" s="134">
        <f t="shared" si="4"/>
        <v>315.94046999999995</v>
      </c>
      <c r="E84" s="134">
        <v>21.0977</v>
      </c>
      <c r="F84" s="134">
        <f>69.14271+225.70006</f>
        <v>294.84276999999997</v>
      </c>
      <c r="G84" s="134">
        <f t="shared" si="5"/>
        <v>1300.7370100000001</v>
      </c>
      <c r="H84" s="146">
        <v>70.036950000000004</v>
      </c>
      <c r="I84" s="138">
        <v>1230.7000600000001</v>
      </c>
      <c r="J84" s="134">
        <f t="shared" si="6"/>
        <v>99.46172</v>
      </c>
      <c r="K84" s="134">
        <f>0.8838+2.26685+1.82235</f>
        <v>4.9729999999999999</v>
      </c>
      <c r="L84" s="134">
        <f>16.7932+43.07091+34.62461</f>
        <v>94.488720000000001</v>
      </c>
      <c r="M84" s="5">
        <f t="shared" si="11"/>
        <v>31.48115846000989</v>
      </c>
      <c r="N84" s="126">
        <v>100</v>
      </c>
      <c r="O84" s="95" t="s">
        <v>108</v>
      </c>
      <c r="P84" s="24" t="s">
        <v>109</v>
      </c>
      <c r="Q84" s="21" t="s">
        <v>110</v>
      </c>
      <c r="R84" s="4" t="s">
        <v>111</v>
      </c>
    </row>
    <row r="85" spans="2:18" ht="135" x14ac:dyDescent="0.25">
      <c r="B85" s="6"/>
      <c r="C85" s="104" t="s">
        <v>112</v>
      </c>
      <c r="D85" s="134">
        <f t="shared" si="4"/>
        <v>117.28</v>
      </c>
      <c r="E85" s="142">
        <v>117.28</v>
      </c>
      <c r="F85" s="142"/>
      <c r="G85" s="134">
        <f t="shared" si="5"/>
        <v>193</v>
      </c>
      <c r="H85" s="142">
        <v>193</v>
      </c>
      <c r="I85" s="142"/>
      <c r="J85" s="134">
        <f t="shared" si="6"/>
        <v>117.27375000000001</v>
      </c>
      <c r="K85" s="134">
        <f>24.32193+42.98042+49.9714</f>
        <v>117.27375000000001</v>
      </c>
      <c r="L85" s="134"/>
      <c r="M85" s="5">
        <f t="shared" si="11"/>
        <v>99.99467087312415</v>
      </c>
      <c r="N85" s="126"/>
      <c r="O85" s="23" t="s">
        <v>489</v>
      </c>
      <c r="P85" s="24" t="s">
        <v>113</v>
      </c>
      <c r="Q85" s="21" t="s">
        <v>114</v>
      </c>
      <c r="R85" s="4"/>
    </row>
    <row r="86" spans="2:18" ht="101.25" x14ac:dyDescent="0.25">
      <c r="B86" s="6"/>
      <c r="C86" s="27" t="s">
        <v>115</v>
      </c>
      <c r="D86" s="134">
        <f t="shared" si="4"/>
        <v>57.777000000000001</v>
      </c>
      <c r="E86" s="147">
        <v>57.777000000000001</v>
      </c>
      <c r="F86" s="147"/>
      <c r="G86" s="134">
        <f t="shared" si="5"/>
        <v>57.777000000000001</v>
      </c>
      <c r="H86" s="147">
        <v>57.777000000000001</v>
      </c>
      <c r="I86" s="147"/>
      <c r="J86" s="134">
        <f t="shared" si="6"/>
        <v>0</v>
      </c>
      <c r="K86" s="134"/>
      <c r="L86" s="134"/>
      <c r="M86" s="5">
        <f t="shared" si="11"/>
        <v>0</v>
      </c>
      <c r="N86" s="126"/>
      <c r="O86" s="28" t="s">
        <v>469</v>
      </c>
      <c r="P86" s="24" t="s">
        <v>117</v>
      </c>
      <c r="Q86" s="104" t="s">
        <v>118</v>
      </c>
      <c r="R86" s="1"/>
    </row>
    <row r="87" spans="2:18" ht="90" x14ac:dyDescent="0.25">
      <c r="B87" s="6"/>
      <c r="C87" s="16" t="s">
        <v>62</v>
      </c>
      <c r="D87" s="134">
        <f t="shared" si="4"/>
        <v>10</v>
      </c>
      <c r="E87" s="142">
        <v>10</v>
      </c>
      <c r="F87" s="142"/>
      <c r="G87" s="134">
        <f t="shared" si="5"/>
        <v>30</v>
      </c>
      <c r="H87" s="142">
        <v>30</v>
      </c>
      <c r="I87" s="144"/>
      <c r="J87" s="134">
        <f t="shared" si="6"/>
        <v>0</v>
      </c>
      <c r="K87" s="137"/>
      <c r="L87" s="137"/>
      <c r="M87" s="5">
        <f t="shared" si="11"/>
        <v>0</v>
      </c>
      <c r="N87" s="126"/>
      <c r="O87" s="6" t="s">
        <v>119</v>
      </c>
      <c r="P87" s="12">
        <v>17</v>
      </c>
      <c r="Q87" s="104" t="s">
        <v>63</v>
      </c>
      <c r="R87" s="1"/>
    </row>
    <row r="88" spans="2:18" ht="63.75" x14ac:dyDescent="0.25">
      <c r="B88" s="6"/>
      <c r="C88" s="104" t="s">
        <v>120</v>
      </c>
      <c r="D88" s="134">
        <f t="shared" si="4"/>
        <v>70.605000000000004</v>
      </c>
      <c r="E88" s="137">
        <v>70.605000000000004</v>
      </c>
      <c r="F88" s="148"/>
      <c r="G88" s="134">
        <f t="shared" si="5"/>
        <v>70.605000000000004</v>
      </c>
      <c r="H88" s="137">
        <v>70.605000000000004</v>
      </c>
      <c r="I88" s="148"/>
      <c r="J88" s="134">
        <f t="shared" si="6"/>
        <v>35.302</v>
      </c>
      <c r="K88" s="137">
        <v>35.302</v>
      </c>
      <c r="L88" s="148"/>
      <c r="M88" s="5">
        <f t="shared" si="11"/>
        <v>49.999291834855882</v>
      </c>
      <c r="N88" s="126"/>
      <c r="O88" s="28" t="s">
        <v>470</v>
      </c>
      <c r="P88" s="24" t="s">
        <v>121</v>
      </c>
      <c r="Q88" s="59" t="s">
        <v>122</v>
      </c>
      <c r="R88" s="1"/>
    </row>
    <row r="89" spans="2:18" ht="101.25" x14ac:dyDescent="0.25">
      <c r="B89" s="6"/>
      <c r="C89" s="27" t="s">
        <v>115</v>
      </c>
      <c r="D89" s="134">
        <f t="shared" ref="D89:D142" si="13">E89+F89</f>
        <v>11.790369999999999</v>
      </c>
      <c r="E89" s="137">
        <v>11.790369999999999</v>
      </c>
      <c r="F89" s="137"/>
      <c r="G89" s="134">
        <f t="shared" ref="G89:G142" si="14">H89+I89</f>
        <v>11.790369999999999</v>
      </c>
      <c r="H89" s="137">
        <v>11.790369999999999</v>
      </c>
      <c r="I89" s="137"/>
      <c r="J89" s="134">
        <f t="shared" ref="J89:J142" si="15">K89+L89</f>
        <v>0</v>
      </c>
      <c r="K89" s="139"/>
      <c r="L89" s="141"/>
      <c r="M89" s="5">
        <f t="shared" si="11"/>
        <v>0</v>
      </c>
      <c r="N89" s="126"/>
      <c r="O89" s="15" t="s">
        <v>517</v>
      </c>
      <c r="P89" s="76" t="s">
        <v>400</v>
      </c>
      <c r="Q89" s="108" t="s">
        <v>403</v>
      </c>
      <c r="R89" s="4"/>
    </row>
    <row r="90" spans="2:18" ht="78.75" x14ac:dyDescent="0.25">
      <c r="B90" s="6"/>
      <c r="C90" s="81" t="s">
        <v>598</v>
      </c>
      <c r="D90" s="134">
        <f t="shared" si="13"/>
        <v>146.19487000000001</v>
      </c>
      <c r="E90" s="137">
        <v>146.19487000000001</v>
      </c>
      <c r="F90" s="136"/>
      <c r="G90" s="134">
        <f t="shared" si="14"/>
        <v>146.19487000000001</v>
      </c>
      <c r="H90" s="137">
        <v>146.19487000000001</v>
      </c>
      <c r="I90" s="137"/>
      <c r="J90" s="134">
        <f t="shared" si="15"/>
        <v>146.19487000000001</v>
      </c>
      <c r="K90" s="137">
        <v>146.19487000000001</v>
      </c>
      <c r="L90" s="137"/>
      <c r="M90" s="161">
        <f t="shared" si="11"/>
        <v>100</v>
      </c>
      <c r="N90" s="161"/>
      <c r="O90" s="194" t="s">
        <v>543</v>
      </c>
      <c r="P90" s="182" t="s">
        <v>391</v>
      </c>
      <c r="Q90" s="81" t="s">
        <v>389</v>
      </c>
      <c r="R90" s="4"/>
    </row>
    <row r="91" spans="2:18" ht="67.5" x14ac:dyDescent="0.25">
      <c r="B91" s="6"/>
      <c r="C91" s="81" t="s">
        <v>388</v>
      </c>
      <c r="D91" s="134">
        <f t="shared" si="13"/>
        <v>11.654999999999999</v>
      </c>
      <c r="E91" s="137">
        <v>11.654999999999999</v>
      </c>
      <c r="F91" s="136"/>
      <c r="G91" s="134">
        <f t="shared" si="14"/>
        <v>11.654999999999999</v>
      </c>
      <c r="H91" s="137">
        <v>11.654999999999999</v>
      </c>
      <c r="I91" s="137"/>
      <c r="J91" s="134">
        <f t="shared" si="15"/>
        <v>11.654999999999999</v>
      </c>
      <c r="K91" s="137">
        <v>11.654999999999999</v>
      </c>
      <c r="L91" s="137"/>
      <c r="M91" s="162"/>
      <c r="N91" s="162"/>
      <c r="O91" s="194"/>
      <c r="P91" s="182"/>
      <c r="Q91" s="81" t="s">
        <v>638</v>
      </c>
      <c r="R91" s="4"/>
    </row>
    <row r="92" spans="2:18" ht="66" customHeight="1" x14ac:dyDescent="0.25">
      <c r="B92" s="6"/>
      <c r="C92" s="118" t="s">
        <v>62</v>
      </c>
      <c r="D92" s="134">
        <f t="shared" si="13"/>
        <v>30.232150000000001</v>
      </c>
      <c r="E92" s="136">
        <v>30.232150000000001</v>
      </c>
      <c r="F92" s="136"/>
      <c r="G92" s="134">
        <f t="shared" si="14"/>
        <v>30.232150000000001</v>
      </c>
      <c r="H92" s="136">
        <v>30.232150000000001</v>
      </c>
      <c r="I92" s="137"/>
      <c r="J92" s="134">
        <f t="shared" si="15"/>
        <v>11.747399999999999</v>
      </c>
      <c r="K92" s="137">
        <f>4.96253+6.78487</f>
        <v>11.747399999999999</v>
      </c>
      <c r="L92" s="137"/>
      <c r="M92" s="5">
        <f t="shared" si="11"/>
        <v>38.857309189058661</v>
      </c>
      <c r="N92" s="126"/>
      <c r="O92" s="29" t="s">
        <v>538</v>
      </c>
      <c r="P92" s="12" t="s">
        <v>249</v>
      </c>
      <c r="Q92" s="81" t="s">
        <v>387</v>
      </c>
      <c r="R92" s="4"/>
    </row>
    <row r="93" spans="2:18" ht="78.75" x14ac:dyDescent="0.25">
      <c r="B93" s="6"/>
      <c r="C93" s="80" t="s">
        <v>599</v>
      </c>
      <c r="D93" s="134">
        <f t="shared" si="13"/>
        <v>5</v>
      </c>
      <c r="E93" s="136">
        <v>5</v>
      </c>
      <c r="F93" s="136"/>
      <c r="G93" s="134">
        <f t="shared" si="14"/>
        <v>5</v>
      </c>
      <c r="H93" s="136">
        <v>5</v>
      </c>
      <c r="I93" s="137"/>
      <c r="J93" s="134">
        <f t="shared" si="15"/>
        <v>5</v>
      </c>
      <c r="K93" s="137">
        <v>5</v>
      </c>
      <c r="L93" s="137"/>
      <c r="M93" s="5">
        <f t="shared" si="11"/>
        <v>100</v>
      </c>
      <c r="N93" s="126"/>
      <c r="O93" s="29"/>
      <c r="P93" s="109" t="s">
        <v>415</v>
      </c>
      <c r="Q93" s="80" t="s">
        <v>397</v>
      </c>
      <c r="R93" s="4"/>
    </row>
    <row r="94" spans="2:18" ht="67.5" x14ac:dyDescent="0.25">
      <c r="B94" s="6"/>
      <c r="C94" s="80" t="s">
        <v>639</v>
      </c>
      <c r="D94" s="134">
        <f t="shared" si="13"/>
        <v>2</v>
      </c>
      <c r="E94" s="136">
        <v>2</v>
      </c>
      <c r="F94" s="136"/>
      <c r="G94" s="134">
        <f t="shared" si="14"/>
        <v>2</v>
      </c>
      <c r="H94" s="136">
        <v>2</v>
      </c>
      <c r="I94" s="137"/>
      <c r="J94" s="134">
        <f t="shared" si="15"/>
        <v>1</v>
      </c>
      <c r="K94" s="137">
        <v>1</v>
      </c>
      <c r="L94" s="137"/>
      <c r="M94" s="5">
        <f t="shared" si="11"/>
        <v>50</v>
      </c>
      <c r="N94" s="126"/>
      <c r="O94" s="29"/>
      <c r="P94" s="109" t="s">
        <v>416</v>
      </c>
      <c r="Q94" s="80" t="s">
        <v>397</v>
      </c>
      <c r="R94" s="4"/>
    </row>
    <row r="95" spans="2:18" ht="123.75" x14ac:dyDescent="0.25">
      <c r="B95" s="6"/>
      <c r="C95" s="80" t="s">
        <v>640</v>
      </c>
      <c r="D95" s="134">
        <f t="shared" si="13"/>
        <v>1.5</v>
      </c>
      <c r="E95" s="136">
        <v>1.5</v>
      </c>
      <c r="F95" s="136"/>
      <c r="G95" s="134">
        <f t="shared" si="14"/>
        <v>1.5</v>
      </c>
      <c r="H95" s="136">
        <v>1.5</v>
      </c>
      <c r="I95" s="137"/>
      <c r="J95" s="134">
        <f t="shared" si="15"/>
        <v>1.5</v>
      </c>
      <c r="K95" s="137">
        <v>1.5</v>
      </c>
      <c r="L95" s="137"/>
      <c r="M95" s="5">
        <f t="shared" si="11"/>
        <v>100</v>
      </c>
      <c r="N95" s="126"/>
      <c r="O95" s="29"/>
      <c r="P95" s="109" t="s">
        <v>417</v>
      </c>
      <c r="Q95" s="80" t="s">
        <v>418</v>
      </c>
      <c r="R95" s="4"/>
    </row>
    <row r="96" spans="2:18" ht="101.25" x14ac:dyDescent="0.25">
      <c r="B96" s="6"/>
      <c r="C96" s="81" t="s">
        <v>459</v>
      </c>
      <c r="D96" s="134">
        <f t="shared" si="13"/>
        <v>134.82599000000002</v>
      </c>
      <c r="E96" s="137">
        <v>1.7742100000000001</v>
      </c>
      <c r="F96" s="137">
        <v>133.05178000000001</v>
      </c>
      <c r="G96" s="134">
        <f t="shared" si="14"/>
        <v>709.46947999999998</v>
      </c>
      <c r="H96" s="137">
        <v>30.50648</v>
      </c>
      <c r="I96" s="137">
        <v>678.96299999999997</v>
      </c>
      <c r="J96" s="134">
        <f t="shared" si="15"/>
        <v>134.82599000000002</v>
      </c>
      <c r="K96" s="137">
        <v>1.7742100000000001</v>
      </c>
      <c r="L96" s="137">
        <v>133.05178000000001</v>
      </c>
      <c r="M96" s="5">
        <f t="shared" si="11"/>
        <v>100</v>
      </c>
      <c r="N96" s="126"/>
      <c r="O96" s="28" t="s">
        <v>457</v>
      </c>
      <c r="P96" s="89" t="s">
        <v>458</v>
      </c>
      <c r="Q96" s="130" t="s">
        <v>638</v>
      </c>
      <c r="R96" s="4" t="s">
        <v>651</v>
      </c>
    </row>
    <row r="97" spans="2:18" ht="54" x14ac:dyDescent="0.25">
      <c r="B97" s="6"/>
      <c r="C97" s="107" t="s">
        <v>504</v>
      </c>
      <c r="D97" s="134">
        <f t="shared" si="13"/>
        <v>15</v>
      </c>
      <c r="E97" s="136">
        <v>15</v>
      </c>
      <c r="F97" s="136"/>
      <c r="G97" s="134">
        <f t="shared" si="14"/>
        <v>30.359179999999999</v>
      </c>
      <c r="H97" s="136">
        <v>30.359179999999999</v>
      </c>
      <c r="I97" s="137"/>
      <c r="J97" s="134">
        <f t="shared" si="15"/>
        <v>0</v>
      </c>
      <c r="K97" s="137"/>
      <c r="L97" s="137"/>
      <c r="M97" s="5">
        <f t="shared" si="11"/>
        <v>0</v>
      </c>
      <c r="N97" s="126"/>
      <c r="O97" s="29" t="s">
        <v>522</v>
      </c>
      <c r="P97" s="12" t="s">
        <v>471</v>
      </c>
      <c r="Q97" s="97" t="s">
        <v>523</v>
      </c>
      <c r="R97" s="4"/>
    </row>
    <row r="98" spans="2:18" ht="22.5" x14ac:dyDescent="0.25">
      <c r="B98" s="6"/>
      <c r="C98" s="27" t="s">
        <v>520</v>
      </c>
      <c r="D98" s="134">
        <f t="shared" ref="D98:D100" si="16">E98+F98</f>
        <v>1.99E-3</v>
      </c>
      <c r="E98" s="136"/>
      <c r="F98" s="137">
        <v>1.99E-3</v>
      </c>
      <c r="G98" s="134">
        <f t="shared" ref="G98:G100" si="17">H98+I98</f>
        <v>7.6999999999999996E-4</v>
      </c>
      <c r="H98" s="136"/>
      <c r="I98" s="137">
        <v>7.6999999999999996E-4</v>
      </c>
      <c r="J98" s="134">
        <f t="shared" ref="J98:J100" si="18">K98+L98</f>
        <v>0</v>
      </c>
      <c r="K98" s="137"/>
      <c r="L98" s="137"/>
      <c r="M98" s="5">
        <f t="shared" ref="M98:M100" si="19">J98/D98%</f>
        <v>0</v>
      </c>
      <c r="N98" s="126"/>
      <c r="O98" s="29"/>
      <c r="P98" s="12"/>
      <c r="Q98" s="21"/>
      <c r="R98" s="4"/>
    </row>
    <row r="99" spans="2:18" ht="33.75" x14ac:dyDescent="0.25">
      <c r="B99" s="6"/>
      <c r="C99" s="27" t="s">
        <v>123</v>
      </c>
      <c r="D99" s="134">
        <f t="shared" si="16"/>
        <v>1.2768999999999999</v>
      </c>
      <c r="E99" s="136"/>
      <c r="F99" s="137">
        <f>0.78917+0.48773</f>
        <v>1.2768999999999999</v>
      </c>
      <c r="G99" s="134">
        <f t="shared" si="17"/>
        <v>1.2768999999999999</v>
      </c>
      <c r="H99" s="136"/>
      <c r="I99" s="137">
        <v>1.2768999999999999</v>
      </c>
      <c r="J99" s="134">
        <f t="shared" si="18"/>
        <v>0</v>
      </c>
      <c r="K99" s="137"/>
      <c r="L99" s="137"/>
      <c r="M99" s="5">
        <f t="shared" si="19"/>
        <v>0</v>
      </c>
      <c r="N99" s="126"/>
      <c r="O99" s="29"/>
      <c r="P99" s="12"/>
      <c r="Q99" s="21"/>
      <c r="R99" s="4"/>
    </row>
    <row r="100" spans="2:18" x14ac:dyDescent="0.25">
      <c r="B100" s="6"/>
      <c r="C100" s="26" t="s">
        <v>521</v>
      </c>
      <c r="D100" s="134">
        <f t="shared" si="16"/>
        <v>0.48793999999999998</v>
      </c>
      <c r="E100" s="134"/>
      <c r="F100" s="134">
        <v>0.48793999999999998</v>
      </c>
      <c r="G100" s="134">
        <f t="shared" si="17"/>
        <v>0</v>
      </c>
      <c r="H100" s="146"/>
      <c r="I100" s="134"/>
      <c r="J100" s="134">
        <f t="shared" si="18"/>
        <v>0</v>
      </c>
      <c r="K100" s="134"/>
      <c r="L100" s="134"/>
      <c r="M100" s="5">
        <f t="shared" si="19"/>
        <v>0</v>
      </c>
      <c r="N100" s="126"/>
      <c r="O100" s="95"/>
      <c r="P100" s="24"/>
      <c r="Q100" s="21"/>
      <c r="R100" s="4"/>
    </row>
    <row r="101" spans="2:18" x14ac:dyDescent="0.25">
      <c r="B101" s="6"/>
      <c r="C101" s="107"/>
      <c r="D101" s="134"/>
      <c r="E101" s="136">
        <v>9.1E-4</v>
      </c>
      <c r="F101" s="136"/>
      <c r="G101" s="134"/>
      <c r="H101" s="136"/>
      <c r="I101" s="137"/>
      <c r="J101" s="134"/>
      <c r="K101" s="137"/>
      <c r="L101" s="137"/>
      <c r="M101" s="5"/>
      <c r="N101" s="126"/>
      <c r="O101" s="29"/>
      <c r="P101" s="12"/>
      <c r="Q101" s="21"/>
      <c r="R101" s="4"/>
    </row>
    <row r="102" spans="2:18" x14ac:dyDescent="0.25">
      <c r="B102" s="6"/>
      <c r="C102" s="30" t="s">
        <v>19</v>
      </c>
      <c r="D102" s="134">
        <f t="shared" si="13"/>
        <v>1249.1683800000001</v>
      </c>
      <c r="E102" s="135">
        <f>SUM(E71:E101)</f>
        <v>819.50700000000018</v>
      </c>
      <c r="F102" s="135">
        <f>SUM(F71:F101)</f>
        <v>429.66137999999995</v>
      </c>
      <c r="G102" s="134">
        <f t="shared" si="14"/>
        <v>3069.31585</v>
      </c>
      <c r="H102" s="135">
        <f>SUM(H71:H97)</f>
        <v>1159.6527900000001</v>
      </c>
      <c r="I102" s="135">
        <f>SUM(I71:I97)</f>
        <v>1909.6630600000001</v>
      </c>
      <c r="J102" s="134">
        <f t="shared" si="15"/>
        <v>881.56022000000007</v>
      </c>
      <c r="K102" s="135">
        <f>SUM(K71:K97)</f>
        <v>654.01972000000001</v>
      </c>
      <c r="L102" s="135">
        <f>SUM(L71:L97)</f>
        <v>227.54050000000001</v>
      </c>
      <c r="M102" s="5">
        <f t="shared" si="11"/>
        <v>70.571768715439305</v>
      </c>
      <c r="N102" s="126"/>
      <c r="O102" s="6"/>
      <c r="P102" s="76"/>
      <c r="Q102" s="7"/>
      <c r="R102" s="4"/>
    </row>
    <row r="103" spans="2:18" x14ac:dyDescent="0.25">
      <c r="B103" s="6"/>
      <c r="C103" s="30"/>
      <c r="D103" s="134"/>
      <c r="E103" s="135"/>
      <c r="F103" s="135"/>
      <c r="G103" s="134"/>
      <c r="H103" s="135"/>
      <c r="I103" s="135"/>
      <c r="J103" s="134"/>
      <c r="K103" s="135"/>
      <c r="L103" s="135"/>
      <c r="M103" s="5"/>
      <c r="N103" s="126"/>
      <c r="O103" s="6"/>
      <c r="P103" s="76"/>
      <c r="Q103" s="7"/>
      <c r="R103" s="8"/>
    </row>
    <row r="104" spans="2:18" ht="38.25" x14ac:dyDescent="0.25">
      <c r="B104" s="42" t="s">
        <v>124</v>
      </c>
      <c r="C104" s="31" t="s">
        <v>125</v>
      </c>
      <c r="D104" s="134"/>
      <c r="E104" s="133"/>
      <c r="F104" s="133"/>
      <c r="G104" s="134"/>
      <c r="H104" s="134"/>
      <c r="I104" s="135"/>
      <c r="J104" s="134"/>
      <c r="K104" s="134"/>
      <c r="L104" s="134"/>
      <c r="M104" s="5"/>
      <c r="N104" s="126"/>
      <c r="O104" s="3"/>
      <c r="P104" s="79"/>
      <c r="Q104" s="3"/>
      <c r="R104" s="4"/>
    </row>
    <row r="105" spans="2:18" ht="45" x14ac:dyDescent="0.25">
      <c r="B105" s="6"/>
      <c r="C105" s="26" t="s">
        <v>126</v>
      </c>
      <c r="D105" s="134">
        <f t="shared" si="13"/>
        <v>504.24642</v>
      </c>
      <c r="E105" s="134">
        <v>504.24642</v>
      </c>
      <c r="F105" s="137"/>
      <c r="G105" s="134">
        <f t="shared" si="14"/>
        <v>791.65206000000001</v>
      </c>
      <c r="H105" s="134">
        <v>791.65206000000001</v>
      </c>
      <c r="I105" s="137"/>
      <c r="J105" s="134">
        <f t="shared" si="15"/>
        <v>504.24641999999994</v>
      </c>
      <c r="K105" s="134">
        <f>87.57372+281.65206+70.08078+0.38352+64.55634</f>
        <v>504.24641999999994</v>
      </c>
      <c r="L105" s="137"/>
      <c r="M105" s="5">
        <f t="shared" si="11"/>
        <v>99.999999999999986</v>
      </c>
      <c r="N105" s="126"/>
      <c r="O105" s="32"/>
      <c r="P105" s="88" t="s">
        <v>127</v>
      </c>
      <c r="Q105" s="22" t="s">
        <v>81</v>
      </c>
      <c r="R105" s="4"/>
    </row>
    <row r="106" spans="2:18" ht="63.75" x14ac:dyDescent="0.25">
      <c r="B106" s="6"/>
      <c r="C106" s="26" t="s">
        <v>602</v>
      </c>
      <c r="D106" s="134">
        <f t="shared" si="13"/>
        <v>169.15163999999999</v>
      </c>
      <c r="E106" s="134">
        <v>169.15163999999999</v>
      </c>
      <c r="F106" s="137"/>
      <c r="G106" s="134">
        <f t="shared" si="14"/>
        <v>334.98500000000001</v>
      </c>
      <c r="H106" s="134">
        <v>334.98500000000001</v>
      </c>
      <c r="I106" s="137"/>
      <c r="J106" s="134">
        <f t="shared" si="15"/>
        <v>162.75790000000001</v>
      </c>
      <c r="K106" s="134">
        <f>26.24345+28.3308+79.0811+29.10255</f>
        <v>162.75790000000001</v>
      </c>
      <c r="L106" s="137"/>
      <c r="M106" s="5">
        <f t="shared" si="11"/>
        <v>96.220113502890086</v>
      </c>
      <c r="N106" s="126"/>
      <c r="O106" s="32" t="s">
        <v>128</v>
      </c>
      <c r="P106" s="32" t="s">
        <v>129</v>
      </c>
      <c r="Q106" s="32" t="s">
        <v>130</v>
      </c>
      <c r="R106" s="4"/>
    </row>
    <row r="107" spans="2:18" x14ac:dyDescent="0.25">
      <c r="B107" s="6"/>
      <c r="C107" s="33"/>
      <c r="D107" s="134">
        <f t="shared" si="13"/>
        <v>0.60194000000000003</v>
      </c>
      <c r="E107" s="134">
        <v>0.60194000000000003</v>
      </c>
      <c r="F107" s="137"/>
      <c r="G107" s="134">
        <f t="shared" si="14"/>
        <v>0</v>
      </c>
      <c r="H107" s="134"/>
      <c r="I107" s="137"/>
      <c r="J107" s="134">
        <f t="shared" si="15"/>
        <v>0</v>
      </c>
      <c r="K107" s="134"/>
      <c r="L107" s="137"/>
      <c r="M107" s="5">
        <f t="shared" si="11"/>
        <v>0</v>
      </c>
      <c r="N107" s="126"/>
      <c r="O107" s="32"/>
      <c r="P107" s="77"/>
      <c r="Q107" s="18"/>
      <c r="R107" s="4"/>
    </row>
    <row r="108" spans="2:18" x14ac:dyDescent="0.25">
      <c r="B108" s="6"/>
      <c r="C108" s="34" t="s">
        <v>19</v>
      </c>
      <c r="D108" s="134">
        <f t="shared" si="13"/>
        <v>674</v>
      </c>
      <c r="E108" s="137">
        <f>SUM(E105:E107)</f>
        <v>674</v>
      </c>
      <c r="F108" s="137">
        <f>SUM(F105:F107)</f>
        <v>0</v>
      </c>
      <c r="G108" s="134">
        <f t="shared" si="14"/>
        <v>1126.63706</v>
      </c>
      <c r="H108" s="137">
        <f>SUM(H105:H107)</f>
        <v>1126.63706</v>
      </c>
      <c r="I108" s="137">
        <f>SUM(I105:I107)</f>
        <v>0</v>
      </c>
      <c r="J108" s="134">
        <f t="shared" si="15"/>
        <v>667.00432000000001</v>
      </c>
      <c r="K108" s="137">
        <f>SUM(K105:K107)</f>
        <v>667.00432000000001</v>
      </c>
      <c r="L108" s="137">
        <f>SUM(L105:L107)</f>
        <v>0</v>
      </c>
      <c r="M108" s="5">
        <f t="shared" si="11"/>
        <v>98.962065281899115</v>
      </c>
      <c r="N108" s="126"/>
      <c r="O108" s="6"/>
      <c r="P108" s="76"/>
      <c r="Q108" s="7"/>
      <c r="R108" s="4"/>
    </row>
    <row r="109" spans="2:18" x14ac:dyDescent="0.25">
      <c r="B109" s="6"/>
      <c r="C109" s="34"/>
      <c r="D109" s="134"/>
      <c r="E109" s="137"/>
      <c r="F109" s="137"/>
      <c r="G109" s="134"/>
      <c r="H109" s="137"/>
      <c r="I109" s="137"/>
      <c r="J109" s="134"/>
      <c r="K109" s="137"/>
      <c r="L109" s="137"/>
      <c r="M109" s="5"/>
      <c r="N109" s="126"/>
      <c r="O109" s="6"/>
      <c r="P109" s="76"/>
      <c r="Q109" s="7"/>
      <c r="R109" s="8"/>
    </row>
    <row r="110" spans="2:18" ht="38.25" x14ac:dyDescent="0.25">
      <c r="B110" s="42" t="s">
        <v>131</v>
      </c>
      <c r="C110" s="35" t="s">
        <v>132</v>
      </c>
      <c r="D110" s="134"/>
      <c r="E110" s="133"/>
      <c r="F110" s="133"/>
      <c r="G110" s="134"/>
      <c r="H110" s="134"/>
      <c r="I110" s="135"/>
      <c r="J110" s="134"/>
      <c r="K110" s="134"/>
      <c r="L110" s="134"/>
      <c r="M110" s="5"/>
      <c r="N110" s="126"/>
      <c r="O110" s="3"/>
      <c r="P110" s="79"/>
      <c r="Q110" s="3"/>
      <c r="R110" s="4"/>
    </row>
    <row r="111" spans="2:18" ht="56.25" x14ac:dyDescent="0.25">
      <c r="B111" s="6"/>
      <c r="C111" s="26" t="s">
        <v>133</v>
      </c>
      <c r="D111" s="134">
        <f t="shared" si="13"/>
        <v>0.3</v>
      </c>
      <c r="E111" s="134">
        <v>0.3</v>
      </c>
      <c r="F111" s="137"/>
      <c r="G111" s="134">
        <f t="shared" si="14"/>
        <v>0.3</v>
      </c>
      <c r="H111" s="134">
        <v>0.3</v>
      </c>
      <c r="I111" s="137"/>
      <c r="J111" s="134">
        <f t="shared" si="15"/>
        <v>0.3</v>
      </c>
      <c r="K111" s="134">
        <v>0.3</v>
      </c>
      <c r="L111" s="137"/>
      <c r="M111" s="5">
        <f t="shared" si="11"/>
        <v>100</v>
      </c>
      <c r="N111" s="126"/>
      <c r="O111" s="15"/>
      <c r="P111" s="75" t="s">
        <v>134</v>
      </c>
      <c r="Q111" s="21" t="s">
        <v>94</v>
      </c>
      <c r="R111" s="1"/>
    </row>
    <row r="112" spans="2:18" ht="56.25" x14ac:dyDescent="0.25">
      <c r="B112" s="6"/>
      <c r="C112" s="26" t="s">
        <v>135</v>
      </c>
      <c r="D112" s="134">
        <f t="shared" si="13"/>
        <v>0.3</v>
      </c>
      <c r="E112" s="137">
        <v>0.3</v>
      </c>
      <c r="F112" s="137"/>
      <c r="G112" s="134">
        <f t="shared" si="14"/>
        <v>0.3</v>
      </c>
      <c r="H112" s="137">
        <v>0.3</v>
      </c>
      <c r="I112" s="137"/>
      <c r="J112" s="134">
        <f t="shared" si="15"/>
        <v>0.3</v>
      </c>
      <c r="K112" s="137">
        <v>0.3</v>
      </c>
      <c r="L112" s="137"/>
      <c r="M112" s="5">
        <f t="shared" si="11"/>
        <v>100</v>
      </c>
      <c r="N112" s="126"/>
      <c r="O112" s="15"/>
      <c r="P112" s="75" t="s">
        <v>134</v>
      </c>
      <c r="Q112" s="21" t="s">
        <v>94</v>
      </c>
      <c r="R112" s="1"/>
    </row>
    <row r="113" spans="2:18" ht="51" x14ac:dyDescent="0.25">
      <c r="B113" s="6"/>
      <c r="C113" s="26" t="s">
        <v>136</v>
      </c>
      <c r="D113" s="134">
        <f t="shared" si="13"/>
        <v>17.878219999999999</v>
      </c>
      <c r="E113" s="137">
        <v>17.878219999999999</v>
      </c>
      <c r="F113" s="137"/>
      <c r="G113" s="134">
        <f t="shared" si="14"/>
        <v>17.878219999999999</v>
      </c>
      <c r="H113" s="137">
        <v>17.878219999999999</v>
      </c>
      <c r="I113" s="137"/>
      <c r="J113" s="134">
        <f t="shared" si="15"/>
        <v>17.878219999999999</v>
      </c>
      <c r="K113" s="137">
        <v>17.878219999999999</v>
      </c>
      <c r="L113" s="137"/>
      <c r="M113" s="5">
        <f t="shared" si="11"/>
        <v>99.999999999999986</v>
      </c>
      <c r="N113" s="126"/>
      <c r="O113" s="15" t="s">
        <v>137</v>
      </c>
      <c r="P113" s="77">
        <v>158</v>
      </c>
      <c r="Q113" s="21" t="s">
        <v>138</v>
      </c>
      <c r="R113" s="1"/>
    </row>
    <row r="114" spans="2:18" ht="135" x14ac:dyDescent="0.25">
      <c r="B114" s="6"/>
      <c r="C114" s="104" t="s">
        <v>139</v>
      </c>
      <c r="D114" s="134">
        <f t="shared" si="13"/>
        <v>312.58300000000003</v>
      </c>
      <c r="E114" s="145">
        <v>312.58300000000003</v>
      </c>
      <c r="F114" s="137"/>
      <c r="G114" s="134">
        <f t="shared" si="14"/>
        <v>312.58300000000003</v>
      </c>
      <c r="H114" s="145">
        <v>312.58300000000003</v>
      </c>
      <c r="I114" s="137"/>
      <c r="J114" s="134">
        <f t="shared" si="15"/>
        <v>304.42995999999999</v>
      </c>
      <c r="K114" s="137">
        <v>304.42995999999999</v>
      </c>
      <c r="L114" s="137"/>
      <c r="M114" s="5">
        <f t="shared" si="11"/>
        <v>97.391719959178843</v>
      </c>
      <c r="N114" s="126">
        <v>100</v>
      </c>
      <c r="O114" s="15" t="s">
        <v>140</v>
      </c>
      <c r="P114" s="75">
        <v>20</v>
      </c>
      <c r="Q114" s="104" t="s">
        <v>141</v>
      </c>
      <c r="R114" s="1"/>
    </row>
    <row r="115" spans="2:18" ht="51" x14ac:dyDescent="0.25">
      <c r="B115" s="6"/>
      <c r="C115" s="26" t="s">
        <v>142</v>
      </c>
      <c r="D115" s="134">
        <f t="shared" si="13"/>
        <v>35.001780000000004</v>
      </c>
      <c r="E115" s="145">
        <f>0.00256+34.99922</f>
        <v>35.001780000000004</v>
      </c>
      <c r="F115" s="137"/>
      <c r="G115" s="134">
        <f t="shared" si="14"/>
        <v>74.989689999999996</v>
      </c>
      <c r="H115" s="145">
        <v>74.989689999999996</v>
      </c>
      <c r="I115" s="137"/>
      <c r="J115" s="134">
        <f t="shared" si="15"/>
        <v>0</v>
      </c>
      <c r="K115" s="137"/>
      <c r="L115" s="137"/>
      <c r="M115" s="5">
        <f t="shared" si="11"/>
        <v>0</v>
      </c>
      <c r="N115" s="126">
        <v>75</v>
      </c>
      <c r="O115" s="15" t="s">
        <v>143</v>
      </c>
      <c r="P115" s="75">
        <v>39</v>
      </c>
      <c r="Q115" s="22" t="s">
        <v>144</v>
      </c>
      <c r="R115" s="1"/>
    </row>
    <row r="116" spans="2:18" ht="45" x14ac:dyDescent="0.25">
      <c r="B116" s="6"/>
      <c r="C116" s="19" t="s">
        <v>145</v>
      </c>
      <c r="D116" s="134">
        <f t="shared" si="13"/>
        <v>23</v>
      </c>
      <c r="E116" s="137">
        <v>23</v>
      </c>
      <c r="F116" s="137"/>
      <c r="G116" s="134">
        <f t="shared" si="14"/>
        <v>23</v>
      </c>
      <c r="H116" s="137">
        <v>23</v>
      </c>
      <c r="I116" s="137"/>
      <c r="J116" s="134">
        <f t="shared" si="15"/>
        <v>21.291879999999999</v>
      </c>
      <c r="K116" s="137">
        <v>21.291879999999999</v>
      </c>
      <c r="L116" s="137"/>
      <c r="M116" s="5">
        <f t="shared" si="11"/>
        <v>92.573391304347822</v>
      </c>
      <c r="N116" s="126"/>
      <c r="O116" s="15" t="s">
        <v>146</v>
      </c>
      <c r="P116" s="77" t="s">
        <v>147</v>
      </c>
      <c r="Q116" s="21" t="s">
        <v>148</v>
      </c>
      <c r="R116" s="1"/>
    </row>
    <row r="117" spans="2:18" ht="78.75" x14ac:dyDescent="0.25">
      <c r="B117" s="6"/>
      <c r="C117" s="81" t="s">
        <v>396</v>
      </c>
      <c r="D117" s="134">
        <f t="shared" si="13"/>
        <v>13</v>
      </c>
      <c r="E117" s="137">
        <v>13</v>
      </c>
      <c r="F117" s="137"/>
      <c r="G117" s="134">
        <f t="shared" si="14"/>
        <v>13</v>
      </c>
      <c r="H117" s="137">
        <v>13</v>
      </c>
      <c r="I117" s="137"/>
      <c r="J117" s="134">
        <f t="shared" si="15"/>
        <v>13</v>
      </c>
      <c r="K117" s="137">
        <v>13</v>
      </c>
      <c r="L117" s="137"/>
      <c r="M117" s="5">
        <f t="shared" si="11"/>
        <v>100</v>
      </c>
      <c r="N117" s="126"/>
      <c r="O117" s="15"/>
      <c r="P117" s="109" t="s">
        <v>398</v>
      </c>
      <c r="Q117" s="81" t="s">
        <v>397</v>
      </c>
      <c r="R117" s="1"/>
    </row>
    <row r="118" spans="2:18" ht="76.5" hidden="1" x14ac:dyDescent="0.25">
      <c r="B118" s="6"/>
      <c r="C118" s="93" t="s">
        <v>552</v>
      </c>
      <c r="D118" s="134">
        <f t="shared" si="13"/>
        <v>0</v>
      </c>
      <c r="E118" s="137"/>
      <c r="F118" s="137"/>
      <c r="G118" s="134">
        <f t="shared" si="14"/>
        <v>3.4</v>
      </c>
      <c r="H118" s="137">
        <v>3.4</v>
      </c>
      <c r="I118" s="137"/>
      <c r="J118" s="134">
        <f t="shared" si="15"/>
        <v>0</v>
      </c>
      <c r="K118" s="137"/>
      <c r="L118" s="137"/>
      <c r="M118" s="5" t="e">
        <f t="shared" si="11"/>
        <v>#DIV/0!</v>
      </c>
      <c r="N118" s="126"/>
      <c r="O118" s="15" t="s">
        <v>538</v>
      </c>
      <c r="P118" s="77">
        <v>29</v>
      </c>
      <c r="Q118" s="25" t="s">
        <v>250</v>
      </c>
      <c r="R118" s="1"/>
    </row>
    <row r="119" spans="2:18" x14ac:dyDescent="0.25">
      <c r="B119" s="6"/>
      <c r="C119" s="34" t="s">
        <v>19</v>
      </c>
      <c r="D119" s="134">
        <f t="shared" si="13"/>
        <v>402.06300000000005</v>
      </c>
      <c r="E119" s="137">
        <f>SUM(E111:E118)</f>
        <v>402.06300000000005</v>
      </c>
      <c r="F119" s="137">
        <f>SUM(F111:F118)</f>
        <v>0</v>
      </c>
      <c r="G119" s="134">
        <f t="shared" si="14"/>
        <v>445.45091000000002</v>
      </c>
      <c r="H119" s="137">
        <f>SUM(H111:H118)</f>
        <v>445.45091000000002</v>
      </c>
      <c r="I119" s="137">
        <f>SUM(I111:I118)</f>
        <v>0</v>
      </c>
      <c r="J119" s="134">
        <f t="shared" si="15"/>
        <v>357.20006000000001</v>
      </c>
      <c r="K119" s="137">
        <f>SUM(K111:K118)</f>
        <v>357.20006000000001</v>
      </c>
      <c r="L119" s="137">
        <f>SUM(L111:L118)</f>
        <v>0</v>
      </c>
      <c r="M119" s="5">
        <f t="shared" si="11"/>
        <v>88.841813347659439</v>
      </c>
      <c r="N119" s="126"/>
      <c r="O119" s="36"/>
      <c r="P119" s="76"/>
      <c r="Q119" s="7"/>
      <c r="R119" s="37">
        <v>0</v>
      </c>
    </row>
    <row r="120" spans="2:18" x14ac:dyDescent="0.25">
      <c r="B120" s="6"/>
      <c r="C120" s="34"/>
      <c r="D120" s="134"/>
      <c r="E120" s="137"/>
      <c r="F120" s="137"/>
      <c r="G120" s="134"/>
      <c r="H120" s="137"/>
      <c r="I120" s="137"/>
      <c r="J120" s="134"/>
      <c r="K120" s="137"/>
      <c r="L120" s="137"/>
      <c r="M120" s="5"/>
      <c r="N120" s="126"/>
      <c r="O120" s="6"/>
      <c r="P120" s="76"/>
      <c r="Q120" s="7"/>
      <c r="R120" s="8"/>
    </row>
    <row r="121" spans="2:18" ht="33.75" x14ac:dyDescent="0.25">
      <c r="B121" s="42" t="s">
        <v>149</v>
      </c>
      <c r="C121" s="30" t="s">
        <v>150</v>
      </c>
      <c r="D121" s="134"/>
      <c r="E121" s="133"/>
      <c r="F121" s="133"/>
      <c r="G121" s="134"/>
      <c r="H121" s="134"/>
      <c r="I121" s="135"/>
      <c r="J121" s="134"/>
      <c r="K121" s="134"/>
      <c r="L121" s="134"/>
      <c r="M121" s="5"/>
      <c r="N121" s="126"/>
      <c r="O121" s="3"/>
      <c r="P121" s="79"/>
      <c r="Q121" s="3"/>
      <c r="R121" s="4"/>
    </row>
    <row r="122" spans="2:18" ht="90" x14ac:dyDescent="0.25">
      <c r="B122" s="6"/>
      <c r="C122" s="26" t="s">
        <v>151</v>
      </c>
      <c r="D122" s="134">
        <f t="shared" si="13"/>
        <v>10.661099999999999</v>
      </c>
      <c r="E122" s="134">
        <v>10.661099999999999</v>
      </c>
      <c r="F122" s="137"/>
      <c r="G122" s="134">
        <f t="shared" si="14"/>
        <v>10.661099999999999</v>
      </c>
      <c r="H122" s="134">
        <v>10.661099999999999</v>
      </c>
      <c r="I122" s="137"/>
      <c r="J122" s="134">
        <f t="shared" si="15"/>
        <v>10.300559999999999</v>
      </c>
      <c r="K122" s="134">
        <v>10.300559999999999</v>
      </c>
      <c r="L122" s="137"/>
      <c r="M122" s="5">
        <f t="shared" ref="M122:M185" si="20">J122/D122%</f>
        <v>96.618172608830221</v>
      </c>
      <c r="N122" s="126"/>
      <c r="O122" s="168" t="s">
        <v>152</v>
      </c>
      <c r="P122" s="183" t="s">
        <v>153</v>
      </c>
      <c r="Q122" s="175" t="s">
        <v>154</v>
      </c>
      <c r="R122" s="4"/>
    </row>
    <row r="123" spans="2:18" ht="101.25" x14ac:dyDescent="0.25">
      <c r="B123" s="6"/>
      <c r="C123" s="26" t="s">
        <v>155</v>
      </c>
      <c r="D123" s="134">
        <f t="shared" si="13"/>
        <v>5.8132999999999999</v>
      </c>
      <c r="E123" s="134">
        <v>5.8132999999999999</v>
      </c>
      <c r="F123" s="137"/>
      <c r="G123" s="134">
        <f t="shared" si="14"/>
        <v>5.8132999999999999</v>
      </c>
      <c r="H123" s="134">
        <v>5.8132999999999999</v>
      </c>
      <c r="I123" s="137"/>
      <c r="J123" s="134">
        <f t="shared" si="15"/>
        <v>5.6167300000000004</v>
      </c>
      <c r="K123" s="134">
        <v>5.6167300000000004</v>
      </c>
      <c r="L123" s="137"/>
      <c r="M123" s="5">
        <f t="shared" si="20"/>
        <v>96.618615932430814</v>
      </c>
      <c r="N123" s="126"/>
      <c r="O123" s="168"/>
      <c r="P123" s="183"/>
      <c r="Q123" s="175"/>
      <c r="R123" s="8"/>
    </row>
    <row r="124" spans="2:18" ht="67.5" x14ac:dyDescent="0.25">
      <c r="B124" s="6"/>
      <c r="C124" s="26" t="s">
        <v>156</v>
      </c>
      <c r="D124" s="134">
        <f t="shared" si="13"/>
        <v>1.3575999999999999</v>
      </c>
      <c r="E124" s="134">
        <v>1.3575999999999999</v>
      </c>
      <c r="F124" s="137"/>
      <c r="G124" s="134">
        <f t="shared" si="14"/>
        <v>23.630880000000001</v>
      </c>
      <c r="H124" s="134">
        <v>23.630880000000001</v>
      </c>
      <c r="I124" s="145"/>
      <c r="J124" s="134">
        <f t="shared" si="15"/>
        <v>1.3575999999999999</v>
      </c>
      <c r="K124" s="134">
        <v>1.3575999999999999</v>
      </c>
      <c r="L124" s="137"/>
      <c r="M124" s="5">
        <f t="shared" si="20"/>
        <v>100</v>
      </c>
      <c r="N124" s="126"/>
      <c r="O124" s="165" t="s">
        <v>157</v>
      </c>
      <c r="P124" s="166" t="s">
        <v>158</v>
      </c>
      <c r="Q124" s="173" t="s">
        <v>159</v>
      </c>
      <c r="R124" s="1" t="s">
        <v>160</v>
      </c>
    </row>
    <row r="125" spans="2:18" ht="67.5" x14ac:dyDescent="0.25">
      <c r="B125" s="6"/>
      <c r="C125" s="26" t="s">
        <v>161</v>
      </c>
      <c r="D125" s="134">
        <f t="shared" si="13"/>
        <v>0.57789000000000001</v>
      </c>
      <c r="E125" s="134">
        <v>0.57789000000000001</v>
      </c>
      <c r="F125" s="137"/>
      <c r="G125" s="134">
        <f t="shared" si="14"/>
        <v>15.07888</v>
      </c>
      <c r="H125" s="134">
        <v>15.07888</v>
      </c>
      <c r="I125" s="137"/>
      <c r="J125" s="134">
        <f t="shared" si="15"/>
        <v>0.57789000000000001</v>
      </c>
      <c r="K125" s="134">
        <v>0.57789000000000001</v>
      </c>
      <c r="L125" s="137"/>
      <c r="M125" s="5">
        <f t="shared" si="20"/>
        <v>100</v>
      </c>
      <c r="N125" s="126"/>
      <c r="O125" s="165"/>
      <c r="P125" s="166"/>
      <c r="Q125" s="173"/>
      <c r="R125" s="1" t="s">
        <v>162</v>
      </c>
    </row>
    <row r="126" spans="2:18" ht="78.75" x14ac:dyDescent="0.25">
      <c r="B126" s="6"/>
      <c r="C126" s="26" t="s">
        <v>163</v>
      </c>
      <c r="D126" s="134">
        <f t="shared" si="13"/>
        <v>12.40579</v>
      </c>
      <c r="E126" s="145">
        <v>12.40579</v>
      </c>
      <c r="F126" s="137"/>
      <c r="G126" s="134">
        <f t="shared" si="14"/>
        <v>12.40579</v>
      </c>
      <c r="H126" s="145">
        <v>12.40579</v>
      </c>
      <c r="I126" s="145"/>
      <c r="J126" s="134">
        <f t="shared" si="15"/>
        <v>9.6175700000000006</v>
      </c>
      <c r="K126" s="134">
        <v>9.6175700000000006</v>
      </c>
      <c r="L126" s="137"/>
      <c r="M126" s="5">
        <f t="shared" si="20"/>
        <v>77.524849284084297</v>
      </c>
      <c r="N126" s="126">
        <v>100</v>
      </c>
      <c r="O126" s="6" t="s">
        <v>502</v>
      </c>
      <c r="P126" s="39" t="s">
        <v>164</v>
      </c>
      <c r="Q126" s="40" t="s">
        <v>154</v>
      </c>
      <c r="R126" s="1"/>
    </row>
    <row r="127" spans="2:18" ht="100.5" customHeight="1" x14ac:dyDescent="0.25">
      <c r="B127" s="6"/>
      <c r="C127" s="40" t="s">
        <v>603</v>
      </c>
      <c r="D127" s="134">
        <f t="shared" si="13"/>
        <v>0.2</v>
      </c>
      <c r="E127" s="145">
        <v>0.2</v>
      </c>
      <c r="F127" s="137"/>
      <c r="G127" s="134">
        <f t="shared" si="14"/>
        <v>0.2</v>
      </c>
      <c r="H127" s="145">
        <v>0.2</v>
      </c>
      <c r="I127" s="145"/>
      <c r="J127" s="134">
        <f t="shared" si="15"/>
        <v>0.2</v>
      </c>
      <c r="K127" s="134">
        <v>0.2</v>
      </c>
      <c r="L127" s="137"/>
      <c r="M127" s="5">
        <f t="shared" si="20"/>
        <v>100</v>
      </c>
      <c r="N127" s="126"/>
      <c r="O127" s="165" t="s">
        <v>503</v>
      </c>
      <c r="P127" s="166" t="s">
        <v>166</v>
      </c>
      <c r="Q127" s="175" t="s">
        <v>167</v>
      </c>
      <c r="R127" s="1"/>
    </row>
    <row r="128" spans="2:18" ht="87.75" customHeight="1" x14ac:dyDescent="0.25">
      <c r="B128" s="6"/>
      <c r="C128" s="26" t="s">
        <v>168</v>
      </c>
      <c r="D128" s="134">
        <f t="shared" si="13"/>
        <v>0.6</v>
      </c>
      <c r="E128" s="134">
        <v>0.6</v>
      </c>
      <c r="F128" s="137"/>
      <c r="G128" s="134">
        <f t="shared" si="14"/>
        <v>0.6</v>
      </c>
      <c r="H128" s="145">
        <v>0.6</v>
      </c>
      <c r="I128" s="145"/>
      <c r="J128" s="134">
        <f t="shared" si="15"/>
        <v>0.42605999999999999</v>
      </c>
      <c r="K128" s="134">
        <v>0.42605999999999999</v>
      </c>
      <c r="L128" s="137"/>
      <c r="M128" s="5">
        <f t="shared" si="20"/>
        <v>71.009999999999991</v>
      </c>
      <c r="N128" s="126">
        <v>100</v>
      </c>
      <c r="O128" s="165"/>
      <c r="P128" s="166"/>
      <c r="Q128" s="175"/>
      <c r="R128" s="1"/>
    </row>
    <row r="129" spans="2:19" ht="112.5" x14ac:dyDescent="0.25">
      <c r="B129" s="6"/>
      <c r="C129" s="26" t="s">
        <v>169</v>
      </c>
      <c r="D129" s="134">
        <f t="shared" si="13"/>
        <v>1.3720000000000001</v>
      </c>
      <c r="E129" s="145">
        <v>1.3720000000000001</v>
      </c>
      <c r="F129" s="137"/>
      <c r="G129" s="134">
        <f t="shared" si="14"/>
        <v>1.3720000000000001</v>
      </c>
      <c r="H129" s="145">
        <v>1.3720000000000001</v>
      </c>
      <c r="I129" s="145"/>
      <c r="J129" s="134">
        <f t="shared" si="15"/>
        <v>1.3260399999999999</v>
      </c>
      <c r="K129" s="134">
        <f>0.24812+1.07792</f>
        <v>1.3260399999999999</v>
      </c>
      <c r="L129" s="137"/>
      <c r="M129" s="5">
        <f t="shared" si="20"/>
        <v>96.65014577259474</v>
      </c>
      <c r="N129" s="126">
        <v>100</v>
      </c>
      <c r="O129" s="6" t="s">
        <v>170</v>
      </c>
      <c r="P129" s="39" t="s">
        <v>171</v>
      </c>
      <c r="Q129" s="21" t="s">
        <v>172</v>
      </c>
      <c r="R129" s="4"/>
    </row>
    <row r="130" spans="2:19" ht="81" customHeight="1" x14ac:dyDescent="0.25">
      <c r="B130" s="6"/>
      <c r="C130" s="26" t="s">
        <v>173</v>
      </c>
      <c r="D130" s="134">
        <f t="shared" si="13"/>
        <v>24.577380000000002</v>
      </c>
      <c r="E130" s="137"/>
      <c r="F130" s="137">
        <v>24.577380000000002</v>
      </c>
      <c r="G130" s="134">
        <f t="shared" si="14"/>
        <v>24.577380000000002</v>
      </c>
      <c r="H130" s="134"/>
      <c r="I130" s="137">
        <v>24.577380000000002</v>
      </c>
      <c r="J130" s="134">
        <f t="shared" si="15"/>
        <v>14.2682</v>
      </c>
      <c r="K130" s="134"/>
      <c r="L130" s="137">
        <v>14.2682</v>
      </c>
      <c r="M130" s="5">
        <f t="shared" si="20"/>
        <v>58.054194547994939</v>
      </c>
      <c r="N130" s="126">
        <v>100</v>
      </c>
      <c r="O130" s="165" t="s">
        <v>174</v>
      </c>
      <c r="P130" s="167" t="s">
        <v>175</v>
      </c>
      <c r="Q130" s="176" t="s">
        <v>176</v>
      </c>
      <c r="R130" s="4"/>
    </row>
    <row r="131" spans="2:19" ht="90" x14ac:dyDescent="0.25">
      <c r="B131" s="6"/>
      <c r="C131" s="26" t="s">
        <v>177</v>
      </c>
      <c r="D131" s="134">
        <f t="shared" si="13"/>
        <v>19.3933</v>
      </c>
      <c r="E131" s="134"/>
      <c r="F131" s="134">
        <v>19.3933</v>
      </c>
      <c r="G131" s="134">
        <f t="shared" si="14"/>
        <v>19.3933</v>
      </c>
      <c r="H131" s="134"/>
      <c r="I131" s="134">
        <v>19.3933</v>
      </c>
      <c r="J131" s="134">
        <f t="shared" si="15"/>
        <v>15.87129</v>
      </c>
      <c r="K131" s="134"/>
      <c r="L131" s="134">
        <v>15.87129</v>
      </c>
      <c r="M131" s="5">
        <f t="shared" si="20"/>
        <v>81.839037193257468</v>
      </c>
      <c r="N131" s="126">
        <v>100</v>
      </c>
      <c r="O131" s="165"/>
      <c r="P131" s="167"/>
      <c r="Q131" s="176"/>
      <c r="R131" s="8"/>
    </row>
    <row r="132" spans="2:19" ht="78.75" x14ac:dyDescent="0.25">
      <c r="B132" s="6"/>
      <c r="C132" s="26" t="s">
        <v>178</v>
      </c>
      <c r="D132" s="134">
        <f t="shared" si="13"/>
        <v>32.076169999999998</v>
      </c>
      <c r="E132" s="137"/>
      <c r="F132" s="137">
        <v>32.076169999999998</v>
      </c>
      <c r="G132" s="134">
        <f t="shared" si="14"/>
        <v>32.076169999999998</v>
      </c>
      <c r="H132" s="134"/>
      <c r="I132" s="137">
        <v>32.076169999999998</v>
      </c>
      <c r="J132" s="134">
        <f t="shared" si="15"/>
        <v>29.785699999999999</v>
      </c>
      <c r="K132" s="134"/>
      <c r="L132" s="137">
        <v>29.785699999999999</v>
      </c>
      <c r="M132" s="5">
        <f t="shared" si="20"/>
        <v>92.859278398886147</v>
      </c>
      <c r="N132" s="126">
        <v>100</v>
      </c>
      <c r="O132" s="6" t="s">
        <v>174</v>
      </c>
      <c r="P132" s="167"/>
      <c r="Q132" s="176"/>
      <c r="R132" s="4"/>
    </row>
    <row r="133" spans="2:19" ht="78.75" x14ac:dyDescent="0.25">
      <c r="B133" s="6"/>
      <c r="C133" s="26" t="s">
        <v>179</v>
      </c>
      <c r="D133" s="134">
        <f t="shared" si="13"/>
        <v>5.1045600000000002</v>
      </c>
      <c r="E133" s="134"/>
      <c r="F133" s="137">
        <v>5.1045600000000002</v>
      </c>
      <c r="G133" s="134">
        <f t="shared" si="14"/>
        <v>5.1045600000000002</v>
      </c>
      <c r="H133" s="134"/>
      <c r="I133" s="137">
        <v>5.1045600000000002</v>
      </c>
      <c r="J133" s="134">
        <f t="shared" si="15"/>
        <v>0.24512</v>
      </c>
      <c r="K133" s="134"/>
      <c r="L133" s="137">
        <v>0.24512</v>
      </c>
      <c r="M133" s="5">
        <f t="shared" si="20"/>
        <v>4.8019809738743398</v>
      </c>
      <c r="N133" s="126">
        <v>100</v>
      </c>
      <c r="O133" s="168" t="s">
        <v>180</v>
      </c>
      <c r="P133" s="167" t="s">
        <v>181</v>
      </c>
      <c r="Q133" s="175" t="s">
        <v>154</v>
      </c>
      <c r="R133" s="4"/>
    </row>
    <row r="134" spans="2:19" ht="78.75" x14ac:dyDescent="0.25">
      <c r="B134" s="6"/>
      <c r="C134" s="26" t="s">
        <v>182</v>
      </c>
      <c r="D134" s="134">
        <f t="shared" si="13"/>
        <v>6.2688899999999999</v>
      </c>
      <c r="E134" s="134"/>
      <c r="F134" s="137">
        <v>6.2688899999999999</v>
      </c>
      <c r="G134" s="134">
        <f t="shared" si="14"/>
        <v>6.2688899999999999</v>
      </c>
      <c r="H134" s="134"/>
      <c r="I134" s="137">
        <v>6.2688899999999999</v>
      </c>
      <c r="J134" s="134">
        <f t="shared" si="15"/>
        <v>0</v>
      </c>
      <c r="K134" s="134"/>
      <c r="L134" s="137"/>
      <c r="M134" s="5">
        <f t="shared" si="20"/>
        <v>0</v>
      </c>
      <c r="N134" s="126">
        <v>100</v>
      </c>
      <c r="O134" s="168"/>
      <c r="P134" s="167"/>
      <c r="Q134" s="175"/>
      <c r="R134" s="4"/>
    </row>
    <row r="135" spans="2:19" ht="78.75" x14ac:dyDescent="0.25">
      <c r="B135" s="6"/>
      <c r="C135" s="26" t="s">
        <v>183</v>
      </c>
      <c r="D135" s="134">
        <f t="shared" si="13"/>
        <v>21.6145</v>
      </c>
      <c r="E135" s="134"/>
      <c r="F135" s="145">
        <v>21.6145</v>
      </c>
      <c r="G135" s="134">
        <f t="shared" si="14"/>
        <v>21.6145</v>
      </c>
      <c r="H135" s="145"/>
      <c r="I135" s="145">
        <v>21.6145</v>
      </c>
      <c r="J135" s="134">
        <f t="shared" si="15"/>
        <v>16.162489999999998</v>
      </c>
      <c r="K135" s="134"/>
      <c r="L135" s="137">
        <v>16.162489999999998</v>
      </c>
      <c r="M135" s="5">
        <f t="shared" si="20"/>
        <v>74.776145642971144</v>
      </c>
      <c r="N135" s="126">
        <v>100</v>
      </c>
      <c r="O135" s="38" t="s">
        <v>184</v>
      </c>
      <c r="P135" s="32" t="s">
        <v>185</v>
      </c>
      <c r="Q135" s="93" t="s">
        <v>186</v>
      </c>
      <c r="R135" s="4"/>
    </row>
    <row r="136" spans="2:19" ht="57" x14ac:dyDescent="0.25">
      <c r="B136" s="6"/>
      <c r="C136" s="26" t="s">
        <v>187</v>
      </c>
      <c r="D136" s="134">
        <f t="shared" si="13"/>
        <v>34.986089999999997</v>
      </c>
      <c r="E136" s="134">
        <v>34.986089999999997</v>
      </c>
      <c r="F136" s="137"/>
      <c r="G136" s="134">
        <f t="shared" si="14"/>
        <v>67.375949999999989</v>
      </c>
      <c r="H136" s="134">
        <v>67.375949999999989</v>
      </c>
      <c r="I136" s="137"/>
      <c r="J136" s="134">
        <f t="shared" si="15"/>
        <v>34.986089999999997</v>
      </c>
      <c r="K136" s="134">
        <v>34.986089999999997</v>
      </c>
      <c r="L136" s="137"/>
      <c r="M136" s="5">
        <f t="shared" si="20"/>
        <v>100</v>
      </c>
      <c r="N136" s="126"/>
      <c r="O136" s="168" t="s">
        <v>188</v>
      </c>
      <c r="P136" s="167" t="s">
        <v>189</v>
      </c>
      <c r="Q136" s="171" t="s">
        <v>190</v>
      </c>
      <c r="R136" s="4" t="s">
        <v>191</v>
      </c>
    </row>
    <row r="137" spans="2:19" ht="56.25" x14ac:dyDescent="0.25">
      <c r="B137" s="6"/>
      <c r="C137" s="26" t="s">
        <v>192</v>
      </c>
      <c r="D137" s="134">
        <f t="shared" si="13"/>
        <v>21.389299999999999</v>
      </c>
      <c r="E137" s="134">
        <v>21.389299999999999</v>
      </c>
      <c r="F137" s="137"/>
      <c r="G137" s="134">
        <f t="shared" si="14"/>
        <v>21.425070000000002</v>
      </c>
      <c r="H137" s="134">
        <v>21.425070000000002</v>
      </c>
      <c r="I137" s="137"/>
      <c r="J137" s="134">
        <f t="shared" si="15"/>
        <v>21.389299999999999</v>
      </c>
      <c r="K137" s="134">
        <v>21.389299999999999</v>
      </c>
      <c r="L137" s="137"/>
      <c r="M137" s="5">
        <f t="shared" si="20"/>
        <v>100</v>
      </c>
      <c r="N137" s="126"/>
      <c r="O137" s="168"/>
      <c r="P137" s="167"/>
      <c r="Q137" s="171"/>
      <c r="R137" s="4"/>
    </row>
    <row r="138" spans="2:19" ht="57" x14ac:dyDescent="0.25">
      <c r="B138" s="6"/>
      <c r="C138" s="26" t="s">
        <v>193</v>
      </c>
      <c r="D138" s="134">
        <f t="shared" si="13"/>
        <v>2.7499699999999998</v>
      </c>
      <c r="E138" s="134">
        <v>2.7499699999999998</v>
      </c>
      <c r="F138" s="137"/>
      <c r="G138" s="134">
        <f t="shared" si="14"/>
        <v>14.322569999999999</v>
      </c>
      <c r="H138" s="134">
        <v>14.322569999999999</v>
      </c>
      <c r="I138" s="137"/>
      <c r="J138" s="134">
        <f t="shared" si="15"/>
        <v>2.7499699999999998</v>
      </c>
      <c r="K138" s="134">
        <v>2.7499699999999998</v>
      </c>
      <c r="L138" s="137"/>
      <c r="M138" s="5">
        <f t="shared" si="20"/>
        <v>100</v>
      </c>
      <c r="N138" s="126"/>
      <c r="O138" s="168"/>
      <c r="P138" s="167"/>
      <c r="Q138" s="171"/>
      <c r="R138" s="4" t="s">
        <v>194</v>
      </c>
    </row>
    <row r="139" spans="2:19" ht="57" x14ac:dyDescent="0.25">
      <c r="B139" s="6"/>
      <c r="C139" s="26" t="s">
        <v>195</v>
      </c>
      <c r="D139" s="134">
        <f t="shared" si="13"/>
        <v>11.443949999999999</v>
      </c>
      <c r="E139" s="134">
        <v>11.443949999999999</v>
      </c>
      <c r="F139" s="137"/>
      <c r="G139" s="134">
        <f t="shared" si="14"/>
        <v>24.868929999999999</v>
      </c>
      <c r="H139" s="134">
        <v>24.868929999999999</v>
      </c>
      <c r="I139" s="145"/>
      <c r="J139" s="134">
        <f t="shared" si="15"/>
        <v>11.443949999999999</v>
      </c>
      <c r="K139" s="134">
        <v>11.443949999999999</v>
      </c>
      <c r="L139" s="137"/>
      <c r="M139" s="5">
        <f t="shared" si="20"/>
        <v>100</v>
      </c>
      <c r="N139" s="126"/>
      <c r="O139" s="168"/>
      <c r="P139" s="167"/>
      <c r="Q139" s="171"/>
      <c r="R139" s="4" t="s">
        <v>196</v>
      </c>
    </row>
    <row r="140" spans="2:19" ht="90" x14ac:dyDescent="0.25">
      <c r="B140" s="6"/>
      <c r="C140" s="26" t="s">
        <v>197</v>
      </c>
      <c r="D140" s="134">
        <f t="shared" si="13"/>
        <v>10.786619999999999</v>
      </c>
      <c r="E140" s="134"/>
      <c r="F140" s="137">
        <v>10.786619999999999</v>
      </c>
      <c r="G140" s="134">
        <f t="shared" si="14"/>
        <v>10.786619999999999</v>
      </c>
      <c r="H140" s="137"/>
      <c r="I140" s="137">
        <v>10.786619999999999</v>
      </c>
      <c r="J140" s="134">
        <f t="shared" si="15"/>
        <v>10.786519999999999</v>
      </c>
      <c r="K140" s="134"/>
      <c r="L140" s="137">
        <v>10.786519999999999</v>
      </c>
      <c r="M140" s="5">
        <f t="shared" si="20"/>
        <v>99.99907292553182</v>
      </c>
      <c r="N140" s="126"/>
      <c r="O140" s="165" t="s">
        <v>28</v>
      </c>
      <c r="P140" s="166" t="s">
        <v>198</v>
      </c>
      <c r="Q140" s="172" t="s">
        <v>199</v>
      </c>
      <c r="R140" s="4"/>
      <c r="S140" s="87"/>
    </row>
    <row r="141" spans="2:19" ht="78.75" x14ac:dyDescent="0.25">
      <c r="B141" s="6"/>
      <c r="C141" s="26" t="s">
        <v>200</v>
      </c>
      <c r="D141" s="134">
        <f t="shared" si="13"/>
        <v>22.989180000000001</v>
      </c>
      <c r="E141" s="134"/>
      <c r="F141" s="137">
        <v>22.989180000000001</v>
      </c>
      <c r="G141" s="134">
        <f t="shared" si="14"/>
        <v>22.989180000000001</v>
      </c>
      <c r="H141" s="137"/>
      <c r="I141" s="137">
        <v>22.989180000000001</v>
      </c>
      <c r="J141" s="134">
        <f t="shared" si="15"/>
        <v>22.989180000000001</v>
      </c>
      <c r="K141" s="134"/>
      <c r="L141" s="137">
        <v>22.989180000000001</v>
      </c>
      <c r="M141" s="5">
        <f t="shared" si="20"/>
        <v>100</v>
      </c>
      <c r="N141" s="126"/>
      <c r="O141" s="165"/>
      <c r="P141" s="166"/>
      <c r="Q141" s="172"/>
      <c r="R141" s="4"/>
    </row>
    <row r="142" spans="2:19" ht="78.75" x14ac:dyDescent="0.25">
      <c r="B142" s="6"/>
      <c r="C142" s="26" t="s">
        <v>201</v>
      </c>
      <c r="D142" s="134">
        <f t="shared" si="13"/>
        <v>30.454999999999998</v>
      </c>
      <c r="E142" s="145"/>
      <c r="F142" s="137">
        <v>30.454999999999998</v>
      </c>
      <c r="G142" s="134">
        <f t="shared" si="14"/>
        <v>30.454999999999998</v>
      </c>
      <c r="H142" s="137"/>
      <c r="I142" s="137">
        <v>30.454999999999998</v>
      </c>
      <c r="J142" s="134">
        <f t="shared" si="15"/>
        <v>30.454999999999998</v>
      </c>
      <c r="K142" s="134"/>
      <c r="L142" s="137">
        <v>30.454999999999998</v>
      </c>
      <c r="M142" s="5">
        <f t="shared" si="20"/>
        <v>100</v>
      </c>
      <c r="N142" s="126"/>
      <c r="O142" s="165"/>
      <c r="P142" s="166"/>
      <c r="Q142" s="172"/>
      <c r="R142" s="4"/>
    </row>
    <row r="143" spans="2:19" ht="78.75" x14ac:dyDescent="0.25">
      <c r="B143" s="6"/>
      <c r="C143" s="26" t="s">
        <v>202</v>
      </c>
      <c r="D143" s="134">
        <f t="shared" ref="D143:D198" si="21">E143+F143</f>
        <v>48.495550000000001</v>
      </c>
      <c r="E143" s="145"/>
      <c r="F143" s="137">
        <v>48.495550000000001</v>
      </c>
      <c r="G143" s="134">
        <f t="shared" ref="G143:G198" si="22">H143+I143</f>
        <v>48.495550000000001</v>
      </c>
      <c r="H143" s="137"/>
      <c r="I143" s="137">
        <v>48.495550000000001</v>
      </c>
      <c r="J143" s="134">
        <f t="shared" ref="J143:J198" si="23">K143+L143</f>
        <v>40.682540000000003</v>
      </c>
      <c r="K143" s="134"/>
      <c r="L143" s="137">
        <v>40.682540000000003</v>
      </c>
      <c r="M143" s="5">
        <f t="shared" si="20"/>
        <v>83.889222825599461</v>
      </c>
      <c r="N143" s="126">
        <v>100</v>
      </c>
      <c r="O143" s="165"/>
      <c r="P143" s="166"/>
      <c r="Q143" s="172"/>
      <c r="R143" s="4"/>
    </row>
    <row r="144" spans="2:19" ht="78.75" x14ac:dyDescent="0.25">
      <c r="B144" s="6"/>
      <c r="C144" s="26" t="s">
        <v>203</v>
      </c>
      <c r="D144" s="134">
        <f t="shared" si="21"/>
        <v>2.10046</v>
      </c>
      <c r="E144" s="145"/>
      <c r="F144" s="137">
        <v>2.10046</v>
      </c>
      <c r="G144" s="134">
        <f t="shared" si="22"/>
        <v>2.10046</v>
      </c>
      <c r="H144" s="137"/>
      <c r="I144" s="137">
        <v>2.10046</v>
      </c>
      <c r="J144" s="134">
        <f t="shared" si="23"/>
        <v>0</v>
      </c>
      <c r="K144" s="134"/>
      <c r="L144" s="137"/>
      <c r="M144" s="5">
        <f t="shared" si="20"/>
        <v>0</v>
      </c>
      <c r="N144" s="126">
        <v>100</v>
      </c>
      <c r="O144" s="165"/>
      <c r="P144" s="166"/>
      <c r="Q144" s="172"/>
      <c r="R144" s="4"/>
    </row>
    <row r="145" spans="2:18" ht="56.25" x14ac:dyDescent="0.25">
      <c r="B145" s="6"/>
      <c r="C145" s="26" t="s">
        <v>604</v>
      </c>
      <c r="D145" s="134">
        <f t="shared" si="21"/>
        <v>24.734999999999999</v>
      </c>
      <c r="E145" s="145"/>
      <c r="F145" s="134">
        <v>24.734999999999999</v>
      </c>
      <c r="G145" s="134">
        <f t="shared" si="22"/>
        <v>24.734999999999999</v>
      </c>
      <c r="H145" s="145"/>
      <c r="I145" s="137">
        <v>24.734999999999999</v>
      </c>
      <c r="J145" s="134">
        <f t="shared" si="23"/>
        <v>23.579979999999999</v>
      </c>
      <c r="K145" s="134"/>
      <c r="L145" s="137">
        <v>23.579979999999999</v>
      </c>
      <c r="M145" s="5">
        <f t="shared" si="20"/>
        <v>95.330422478269654</v>
      </c>
      <c r="N145" s="126">
        <v>100</v>
      </c>
      <c r="O145" s="6" t="s">
        <v>204</v>
      </c>
      <c r="P145" s="39" t="s">
        <v>205</v>
      </c>
      <c r="Q145" s="41" t="s">
        <v>199</v>
      </c>
      <c r="R145" s="8"/>
    </row>
    <row r="146" spans="2:18" ht="67.5" x14ac:dyDescent="0.25">
      <c r="B146" s="6"/>
      <c r="C146" s="26" t="s">
        <v>206</v>
      </c>
      <c r="D146" s="134">
        <f t="shared" si="21"/>
        <v>15.762700000000001</v>
      </c>
      <c r="E146" s="145"/>
      <c r="F146" s="137">
        <v>15.762700000000001</v>
      </c>
      <c r="G146" s="134">
        <f t="shared" si="22"/>
        <v>15.762700000000001</v>
      </c>
      <c r="H146" s="137"/>
      <c r="I146" s="137">
        <v>15.762700000000001</v>
      </c>
      <c r="J146" s="134">
        <f t="shared" si="23"/>
        <v>11.215439999999999</v>
      </c>
      <c r="K146" s="134"/>
      <c r="L146" s="137">
        <v>11.215439999999999</v>
      </c>
      <c r="M146" s="5">
        <f t="shared" si="20"/>
        <v>71.1517696841277</v>
      </c>
      <c r="N146" s="126">
        <v>100</v>
      </c>
      <c r="O146" s="165" t="s">
        <v>207</v>
      </c>
      <c r="P146" s="166" t="s">
        <v>208</v>
      </c>
      <c r="Q146" s="173" t="s">
        <v>209</v>
      </c>
      <c r="R146" s="1"/>
    </row>
    <row r="147" spans="2:18" ht="78.75" x14ac:dyDescent="0.25">
      <c r="B147" s="6"/>
      <c r="C147" s="26" t="s">
        <v>210</v>
      </c>
      <c r="D147" s="134">
        <f t="shared" si="21"/>
        <v>10.5158</v>
      </c>
      <c r="E147" s="145"/>
      <c r="F147" s="137">
        <v>10.5158</v>
      </c>
      <c r="G147" s="134">
        <f t="shared" si="22"/>
        <v>13.495799999999999</v>
      </c>
      <c r="H147" s="137"/>
      <c r="I147" s="137">
        <v>13.495799999999999</v>
      </c>
      <c r="J147" s="134">
        <f t="shared" si="23"/>
        <v>9.9643999999999995</v>
      </c>
      <c r="K147" s="134"/>
      <c r="L147" s="137">
        <v>9.9643999999999995</v>
      </c>
      <c r="M147" s="5">
        <f t="shared" si="20"/>
        <v>94.756461705243538</v>
      </c>
      <c r="N147" s="126">
        <v>100</v>
      </c>
      <c r="O147" s="165"/>
      <c r="P147" s="166"/>
      <c r="Q147" s="173"/>
      <c r="R147" s="1"/>
    </row>
    <row r="148" spans="2:18" ht="67.5" x14ac:dyDescent="0.25">
      <c r="B148" s="6"/>
      <c r="C148" s="26" t="s">
        <v>211</v>
      </c>
      <c r="D148" s="134">
        <f t="shared" si="21"/>
        <v>37.522620000000003</v>
      </c>
      <c r="E148" s="134"/>
      <c r="F148" s="137">
        <v>37.522620000000003</v>
      </c>
      <c r="G148" s="134">
        <f t="shared" si="22"/>
        <v>41.598500000000001</v>
      </c>
      <c r="H148" s="145"/>
      <c r="I148" s="137">
        <v>41.598500000000001</v>
      </c>
      <c r="J148" s="134">
        <f t="shared" si="23"/>
        <v>37.522620000000003</v>
      </c>
      <c r="K148" s="134"/>
      <c r="L148" s="137">
        <v>37.522620000000003</v>
      </c>
      <c r="M148" s="161">
        <f t="shared" si="20"/>
        <v>100</v>
      </c>
      <c r="N148" s="161"/>
      <c r="O148" s="165" t="s">
        <v>212</v>
      </c>
      <c r="P148" s="166" t="s">
        <v>213</v>
      </c>
      <c r="Q148" s="18" t="s">
        <v>214</v>
      </c>
      <c r="R148" s="1"/>
    </row>
    <row r="149" spans="2:18" ht="56.25" x14ac:dyDescent="0.25">
      <c r="B149" s="6"/>
      <c r="C149" s="26" t="s">
        <v>215</v>
      </c>
      <c r="D149" s="134">
        <f t="shared" si="21"/>
        <v>0.62397999999999998</v>
      </c>
      <c r="E149" s="134"/>
      <c r="F149" s="137">
        <v>0.62397999999999998</v>
      </c>
      <c r="G149" s="134">
        <f t="shared" si="22"/>
        <v>0</v>
      </c>
      <c r="H149" s="145"/>
      <c r="I149" s="137"/>
      <c r="J149" s="134">
        <f t="shared" si="23"/>
        <v>0.62397999999999998</v>
      </c>
      <c r="K149" s="134"/>
      <c r="L149" s="137">
        <v>0.62397999999999998</v>
      </c>
      <c r="M149" s="162"/>
      <c r="N149" s="162"/>
      <c r="O149" s="165"/>
      <c r="P149" s="166"/>
      <c r="Q149" s="18" t="s">
        <v>638</v>
      </c>
      <c r="R149" s="1"/>
    </row>
    <row r="150" spans="2:18" ht="78.75" x14ac:dyDescent="0.25">
      <c r="B150" s="6"/>
      <c r="C150" s="26" t="s">
        <v>216</v>
      </c>
      <c r="D150" s="134">
        <f t="shared" si="21"/>
        <v>19.290500000000002</v>
      </c>
      <c r="E150" s="134"/>
      <c r="F150" s="137">
        <v>19.290500000000002</v>
      </c>
      <c r="G150" s="134">
        <f t="shared" si="22"/>
        <v>22.564499999999999</v>
      </c>
      <c r="H150" s="145"/>
      <c r="I150" s="137">
        <v>22.564499999999999</v>
      </c>
      <c r="J150" s="134">
        <f t="shared" si="23"/>
        <v>19.290500000000002</v>
      </c>
      <c r="K150" s="134"/>
      <c r="L150" s="137">
        <v>19.290500000000002</v>
      </c>
      <c r="M150" s="5">
        <f t="shared" si="20"/>
        <v>100</v>
      </c>
      <c r="N150" s="126"/>
      <c r="O150" s="165" t="s">
        <v>207</v>
      </c>
      <c r="P150" s="166" t="s">
        <v>217</v>
      </c>
      <c r="Q150" s="174" t="s">
        <v>176</v>
      </c>
      <c r="R150" s="1"/>
    </row>
    <row r="151" spans="2:18" ht="90" x14ac:dyDescent="0.25">
      <c r="B151" s="6"/>
      <c r="C151" s="26" t="s">
        <v>218</v>
      </c>
      <c r="D151" s="134">
        <f t="shared" si="21"/>
        <v>13.13519</v>
      </c>
      <c r="E151" s="134"/>
      <c r="F151" s="137">
        <v>13.13519</v>
      </c>
      <c r="G151" s="134">
        <f t="shared" si="22"/>
        <v>15.6243</v>
      </c>
      <c r="H151" s="145"/>
      <c r="I151" s="137">
        <v>15.6243</v>
      </c>
      <c r="J151" s="134">
        <f t="shared" si="23"/>
        <v>13.13519</v>
      </c>
      <c r="K151" s="134"/>
      <c r="L151" s="137">
        <v>13.13519</v>
      </c>
      <c r="M151" s="5">
        <f t="shared" si="20"/>
        <v>100</v>
      </c>
      <c r="N151" s="126"/>
      <c r="O151" s="165"/>
      <c r="P151" s="166"/>
      <c r="Q151" s="174"/>
      <c r="R151" s="1"/>
    </row>
    <row r="152" spans="2:18" ht="78.75" x14ac:dyDescent="0.25">
      <c r="B152" s="6"/>
      <c r="C152" s="26" t="s">
        <v>219</v>
      </c>
      <c r="D152" s="134">
        <f t="shared" si="21"/>
        <v>2.2892700000000001</v>
      </c>
      <c r="E152" s="145"/>
      <c r="F152" s="137">
        <v>2.2892700000000001</v>
      </c>
      <c r="G152" s="134">
        <f t="shared" si="22"/>
        <v>28.223700000000001</v>
      </c>
      <c r="H152" s="145"/>
      <c r="I152" s="137">
        <v>28.223700000000001</v>
      </c>
      <c r="J152" s="134">
        <f t="shared" si="23"/>
        <v>2.2892700000000001</v>
      </c>
      <c r="K152" s="134"/>
      <c r="L152" s="137">
        <v>2.2892700000000001</v>
      </c>
      <c r="M152" s="5">
        <f t="shared" si="20"/>
        <v>100</v>
      </c>
      <c r="N152" s="126"/>
      <c r="O152" s="6" t="s">
        <v>207</v>
      </c>
      <c r="P152" s="39" t="s">
        <v>220</v>
      </c>
      <c r="Q152" s="19" t="s">
        <v>221</v>
      </c>
      <c r="R152" s="1" t="s">
        <v>222</v>
      </c>
    </row>
    <row r="153" spans="2:18" ht="78.75" x14ac:dyDescent="0.25">
      <c r="B153" s="6"/>
      <c r="C153" s="26" t="s">
        <v>223</v>
      </c>
      <c r="D153" s="134">
        <f t="shared" si="21"/>
        <v>46.08408</v>
      </c>
      <c r="E153" s="145"/>
      <c r="F153" s="137">
        <f>0.0009+46.08318</f>
        <v>46.08408</v>
      </c>
      <c r="G153" s="134">
        <f t="shared" si="22"/>
        <v>49.243299999999998</v>
      </c>
      <c r="H153" s="145"/>
      <c r="I153" s="137">
        <v>49.243299999999998</v>
      </c>
      <c r="J153" s="134">
        <f t="shared" si="23"/>
        <v>46.083179999999999</v>
      </c>
      <c r="K153" s="134"/>
      <c r="L153" s="137">
        <v>46.083179999999999</v>
      </c>
      <c r="M153" s="5">
        <f t="shared" si="20"/>
        <v>99.998047047917638</v>
      </c>
      <c r="N153" s="126">
        <v>100</v>
      </c>
      <c r="O153" s="6" t="s">
        <v>224</v>
      </c>
      <c r="P153" s="39" t="s">
        <v>225</v>
      </c>
      <c r="Q153" s="40" t="s">
        <v>226</v>
      </c>
      <c r="R153" s="1"/>
    </row>
    <row r="154" spans="2:18" ht="78.75" x14ac:dyDescent="0.25">
      <c r="B154" s="6"/>
      <c r="C154" s="26" t="s">
        <v>227</v>
      </c>
      <c r="D154" s="134">
        <f t="shared" si="21"/>
        <v>8.0821699999999996</v>
      </c>
      <c r="E154" s="145">
        <v>8.0821699999999996</v>
      </c>
      <c r="F154" s="137"/>
      <c r="G154" s="134">
        <f t="shared" si="22"/>
        <v>8.0821699999999996</v>
      </c>
      <c r="H154" s="145">
        <v>8.0821699999999996</v>
      </c>
      <c r="I154" s="145"/>
      <c r="J154" s="134">
        <f t="shared" si="23"/>
        <v>7.2899700000000003</v>
      </c>
      <c r="K154" s="134">
        <v>7.2899700000000003</v>
      </c>
      <c r="L154" s="137"/>
      <c r="M154" s="5">
        <f t="shared" si="20"/>
        <v>90.198176974748122</v>
      </c>
      <c r="N154" s="126">
        <v>100</v>
      </c>
      <c r="O154" s="6" t="s">
        <v>228</v>
      </c>
      <c r="P154" s="39" t="s">
        <v>229</v>
      </c>
      <c r="Q154" s="21" t="s">
        <v>230</v>
      </c>
      <c r="R154" s="4"/>
    </row>
    <row r="155" spans="2:18" ht="90" x14ac:dyDescent="0.25">
      <c r="B155" s="6"/>
      <c r="C155" s="26" t="s">
        <v>231</v>
      </c>
      <c r="D155" s="134">
        <f t="shared" si="21"/>
        <v>2.5420199999999999</v>
      </c>
      <c r="E155" s="134">
        <v>2.5420199999999999</v>
      </c>
      <c r="F155" s="137"/>
      <c r="G155" s="134">
        <f t="shared" si="22"/>
        <v>2.5420199999999999</v>
      </c>
      <c r="H155" s="134">
        <v>2.5420199999999999</v>
      </c>
      <c r="I155" s="137"/>
      <c r="J155" s="134">
        <f t="shared" si="23"/>
        <v>2.5420199999999999</v>
      </c>
      <c r="K155" s="134">
        <v>2.5420199999999999</v>
      </c>
      <c r="L155" s="137"/>
      <c r="M155" s="5">
        <f t="shared" si="20"/>
        <v>100</v>
      </c>
      <c r="N155" s="126"/>
      <c r="O155" s="6" t="s">
        <v>232</v>
      </c>
      <c r="P155" s="32" t="s">
        <v>233</v>
      </c>
      <c r="Q155" s="21" t="s">
        <v>221</v>
      </c>
      <c r="R155" s="4"/>
    </row>
    <row r="156" spans="2:18" ht="90" x14ac:dyDescent="0.25">
      <c r="B156" s="6"/>
      <c r="C156" s="26" t="s">
        <v>234</v>
      </c>
      <c r="D156" s="134">
        <f t="shared" si="21"/>
        <v>39.196370000000002</v>
      </c>
      <c r="E156" s="134">
        <v>39.196370000000002</v>
      </c>
      <c r="F156" s="137"/>
      <c r="G156" s="134">
        <f t="shared" si="22"/>
        <v>39.196370000000002</v>
      </c>
      <c r="H156" s="134">
        <v>39.196370000000002</v>
      </c>
      <c r="I156" s="137"/>
      <c r="J156" s="134">
        <f t="shared" si="23"/>
        <v>29.370049999999999</v>
      </c>
      <c r="K156" s="134">
        <v>29.370049999999999</v>
      </c>
      <c r="L156" s="137"/>
      <c r="M156" s="5">
        <f t="shared" si="20"/>
        <v>74.930535659297021</v>
      </c>
      <c r="N156" s="126">
        <v>100</v>
      </c>
      <c r="O156" s="6" t="s">
        <v>235</v>
      </c>
      <c r="P156" s="32" t="s">
        <v>236</v>
      </c>
      <c r="Q156" s="4" t="s">
        <v>237</v>
      </c>
      <c r="R156" s="4"/>
    </row>
    <row r="157" spans="2:18" ht="78.75" x14ac:dyDescent="0.25">
      <c r="B157" s="6"/>
      <c r="C157" s="26" t="s">
        <v>238</v>
      </c>
      <c r="D157" s="134">
        <f t="shared" si="21"/>
        <v>14.699450000000001</v>
      </c>
      <c r="E157" s="134">
        <v>14.699450000000001</v>
      </c>
      <c r="F157" s="137"/>
      <c r="G157" s="134">
        <f t="shared" si="22"/>
        <v>14.699450000000001</v>
      </c>
      <c r="H157" s="134">
        <v>14.699450000000001</v>
      </c>
      <c r="I157" s="137"/>
      <c r="J157" s="134">
        <f t="shared" si="23"/>
        <v>10.04608</v>
      </c>
      <c r="K157" s="134">
        <v>10.04608</v>
      </c>
      <c r="L157" s="137"/>
      <c r="M157" s="5">
        <f t="shared" si="20"/>
        <v>68.343237332009025</v>
      </c>
      <c r="N157" s="126">
        <v>100</v>
      </c>
      <c r="O157" s="6" t="s">
        <v>235</v>
      </c>
      <c r="P157" s="32" t="s">
        <v>239</v>
      </c>
      <c r="Q157" s="4" t="s">
        <v>237</v>
      </c>
      <c r="R157" s="4"/>
    </row>
    <row r="158" spans="2:18" ht="90" x14ac:dyDescent="0.25">
      <c r="B158" s="6"/>
      <c r="C158" s="116" t="s">
        <v>641</v>
      </c>
      <c r="D158" s="134">
        <f t="shared" si="21"/>
        <v>2.1890000000000001</v>
      </c>
      <c r="E158" s="134">
        <v>2.1890000000000001</v>
      </c>
      <c r="F158" s="137"/>
      <c r="G158" s="134">
        <f t="shared" si="22"/>
        <v>2.1890000000000001</v>
      </c>
      <c r="H158" s="134">
        <v>2.1890000000000001</v>
      </c>
      <c r="I158" s="137"/>
      <c r="J158" s="134">
        <f t="shared" si="23"/>
        <v>2.18811</v>
      </c>
      <c r="K158" s="134">
        <f>1.185+1.00311</f>
        <v>2.18811</v>
      </c>
      <c r="L158" s="137"/>
      <c r="M158" s="5">
        <f t="shared" si="20"/>
        <v>99.95934216537232</v>
      </c>
      <c r="N158" s="126"/>
      <c r="O158" s="6" t="s">
        <v>544</v>
      </c>
      <c r="P158" s="32" t="s">
        <v>400</v>
      </c>
      <c r="Q158" s="81" t="s">
        <v>399</v>
      </c>
      <c r="R158" s="4"/>
    </row>
    <row r="159" spans="2:18" ht="101.25" x14ac:dyDescent="0.25">
      <c r="B159" s="6"/>
      <c r="C159" s="81" t="s">
        <v>401</v>
      </c>
      <c r="D159" s="134">
        <f t="shared" si="21"/>
        <v>1.0569500000000001</v>
      </c>
      <c r="E159" s="134">
        <v>1.0569500000000001</v>
      </c>
      <c r="F159" s="137"/>
      <c r="G159" s="134">
        <f t="shared" si="22"/>
        <v>1.0569500000000001</v>
      </c>
      <c r="H159" s="134">
        <v>1.0569500000000001</v>
      </c>
      <c r="I159" s="137"/>
      <c r="J159" s="134">
        <f t="shared" si="23"/>
        <v>1.0569500000000001</v>
      </c>
      <c r="K159" s="134">
        <v>1.0569500000000001</v>
      </c>
      <c r="L159" s="137"/>
      <c r="M159" s="5">
        <f t="shared" si="20"/>
        <v>100</v>
      </c>
      <c r="N159" s="126"/>
      <c r="O159" s="6" t="s">
        <v>545</v>
      </c>
      <c r="P159" s="32" t="s">
        <v>402</v>
      </c>
      <c r="Q159" s="21" t="s">
        <v>91</v>
      </c>
      <c r="R159" s="4"/>
    </row>
    <row r="160" spans="2:18" ht="135" x14ac:dyDescent="0.25">
      <c r="B160" s="6"/>
      <c r="C160" s="80" t="s">
        <v>605</v>
      </c>
      <c r="D160" s="134">
        <f t="shared" si="21"/>
        <v>1.52441</v>
      </c>
      <c r="E160" s="134"/>
      <c r="F160" s="137">
        <v>1.52441</v>
      </c>
      <c r="G160" s="134">
        <f t="shared" si="22"/>
        <v>1.52441</v>
      </c>
      <c r="H160" s="134"/>
      <c r="I160" s="137">
        <v>1.52441</v>
      </c>
      <c r="J160" s="134">
        <f t="shared" si="23"/>
        <v>0.54549999999999998</v>
      </c>
      <c r="K160" s="134"/>
      <c r="L160" s="137">
        <v>0.54549999999999998</v>
      </c>
      <c r="M160" s="5">
        <f t="shared" si="20"/>
        <v>35.784336235002392</v>
      </c>
      <c r="N160" s="126"/>
      <c r="O160" s="6" t="s">
        <v>546</v>
      </c>
      <c r="P160" s="32" t="s">
        <v>421</v>
      </c>
      <c r="Q160" s="81" t="s">
        <v>167</v>
      </c>
      <c r="R160" s="4"/>
    </row>
    <row r="161" spans="2:18" ht="56.25" x14ac:dyDescent="0.25">
      <c r="B161" s="6"/>
      <c r="C161" s="81" t="s">
        <v>422</v>
      </c>
      <c r="D161" s="134">
        <f t="shared" si="21"/>
        <v>2.8980000000000001</v>
      </c>
      <c r="E161" s="134">
        <v>2.8980000000000001</v>
      </c>
      <c r="F161" s="137"/>
      <c r="G161" s="134">
        <f t="shared" si="22"/>
        <v>2.8980000000000001</v>
      </c>
      <c r="H161" s="134">
        <v>2.8980000000000001</v>
      </c>
      <c r="I161" s="137"/>
      <c r="J161" s="134">
        <f t="shared" si="23"/>
        <v>2.60934</v>
      </c>
      <c r="K161" s="134">
        <v>2.60934</v>
      </c>
      <c r="L161" s="137"/>
      <c r="M161" s="5">
        <f t="shared" si="20"/>
        <v>90.039337474120074</v>
      </c>
      <c r="N161" s="126">
        <v>100</v>
      </c>
      <c r="O161" s="6" t="s">
        <v>547</v>
      </c>
      <c r="P161" s="32" t="s">
        <v>423</v>
      </c>
      <c r="Q161" s="81" t="s">
        <v>424</v>
      </c>
      <c r="R161" s="4"/>
    </row>
    <row r="162" spans="2:18" ht="56.25" x14ac:dyDescent="0.25">
      <c r="B162" s="6"/>
      <c r="C162" s="81" t="s">
        <v>425</v>
      </c>
      <c r="D162" s="134">
        <f t="shared" si="21"/>
        <v>7.3023100000000003</v>
      </c>
      <c r="E162" s="134">
        <v>7.3023100000000003</v>
      </c>
      <c r="F162" s="137"/>
      <c r="G162" s="134">
        <f t="shared" si="22"/>
        <v>7.3023100000000003</v>
      </c>
      <c r="H162" s="134">
        <v>7.3023100000000003</v>
      </c>
      <c r="I162" s="137"/>
      <c r="J162" s="134">
        <f t="shared" si="23"/>
        <v>7.1771700000000003</v>
      </c>
      <c r="K162" s="134">
        <v>7.1771700000000003</v>
      </c>
      <c r="L162" s="137"/>
      <c r="M162" s="5">
        <f t="shared" si="20"/>
        <v>98.28629570642714</v>
      </c>
      <c r="N162" s="126">
        <v>100</v>
      </c>
      <c r="O162" s="6" t="s">
        <v>548</v>
      </c>
      <c r="P162" s="32" t="s">
        <v>426</v>
      </c>
      <c r="Q162" s="21" t="s">
        <v>427</v>
      </c>
      <c r="R162" s="4"/>
    </row>
    <row r="163" spans="2:18" ht="144" customHeight="1" x14ac:dyDescent="0.25">
      <c r="B163" s="6"/>
      <c r="C163" s="81" t="s">
        <v>524</v>
      </c>
      <c r="D163" s="134">
        <f t="shared" si="21"/>
        <v>7.5960299999999998</v>
      </c>
      <c r="E163" s="134"/>
      <c r="F163" s="137">
        <v>7.5960299999999998</v>
      </c>
      <c r="G163" s="134">
        <f t="shared" si="22"/>
        <v>7.5960299999999998</v>
      </c>
      <c r="H163" s="134"/>
      <c r="I163" s="137">
        <v>7.5960299999999998</v>
      </c>
      <c r="J163" s="134">
        <f t="shared" si="23"/>
        <v>7.5960299999999998</v>
      </c>
      <c r="K163" s="134"/>
      <c r="L163" s="137">
        <v>7.5960299999999998</v>
      </c>
      <c r="M163" s="5">
        <f t="shared" si="20"/>
        <v>100</v>
      </c>
      <c r="N163" s="126"/>
      <c r="O163" s="6" t="s">
        <v>116</v>
      </c>
      <c r="P163" s="32" t="s">
        <v>147</v>
      </c>
      <c r="Q163" s="21" t="s">
        <v>403</v>
      </c>
      <c r="R163" s="4"/>
    </row>
    <row r="164" spans="2:18" ht="78.75" x14ac:dyDescent="0.25">
      <c r="B164" s="6"/>
      <c r="C164" s="81" t="s">
        <v>472</v>
      </c>
      <c r="D164" s="134">
        <f t="shared" si="21"/>
        <v>1.1000000000000001</v>
      </c>
      <c r="E164" s="134">
        <v>1.1000000000000001</v>
      </c>
      <c r="F164" s="137"/>
      <c r="G164" s="134">
        <f t="shared" si="22"/>
        <v>1.1000000000000001</v>
      </c>
      <c r="H164" s="134">
        <v>1.1000000000000001</v>
      </c>
      <c r="I164" s="137"/>
      <c r="J164" s="134">
        <f t="shared" si="23"/>
        <v>1.1000000000000001</v>
      </c>
      <c r="K164" s="134">
        <v>1.1000000000000001</v>
      </c>
      <c r="L164" s="137"/>
      <c r="M164" s="5">
        <f t="shared" si="20"/>
        <v>100</v>
      </c>
      <c r="N164" s="126"/>
      <c r="O164" s="6" t="s">
        <v>549</v>
      </c>
      <c r="P164" s="32" t="s">
        <v>474</v>
      </c>
      <c r="Q164" s="81" t="s">
        <v>409</v>
      </c>
      <c r="R164" s="4"/>
    </row>
    <row r="165" spans="2:18" ht="90" x14ac:dyDescent="0.25">
      <c r="B165" s="6"/>
      <c r="C165" s="81" t="s">
        <v>473</v>
      </c>
      <c r="D165" s="134">
        <f t="shared" si="21"/>
        <v>21.293659999999999</v>
      </c>
      <c r="E165" s="134">
        <v>21.293659999999999</v>
      </c>
      <c r="F165" s="137"/>
      <c r="G165" s="134">
        <f t="shared" si="22"/>
        <v>21.293659999999999</v>
      </c>
      <c r="H165" s="134">
        <v>21.293659999999999</v>
      </c>
      <c r="I165" s="137"/>
      <c r="J165" s="134">
        <f t="shared" si="23"/>
        <v>21.293659999999999</v>
      </c>
      <c r="K165" s="134">
        <v>21.293659999999999</v>
      </c>
      <c r="L165" s="137"/>
      <c r="M165" s="5">
        <f t="shared" si="20"/>
        <v>100</v>
      </c>
      <c r="N165" s="126"/>
      <c r="O165" s="6" t="s">
        <v>550</v>
      </c>
      <c r="P165" s="32" t="s">
        <v>475</v>
      </c>
      <c r="Q165" s="21" t="s">
        <v>91</v>
      </c>
      <c r="R165" s="4"/>
    </row>
    <row r="166" spans="2:18" ht="90" x14ac:dyDescent="0.25">
      <c r="B166" s="6"/>
      <c r="C166" s="81" t="s">
        <v>476</v>
      </c>
      <c r="D166" s="134">
        <f t="shared" si="21"/>
        <v>27.455300000000001</v>
      </c>
      <c r="E166" s="134">
        <v>27.455300000000001</v>
      </c>
      <c r="F166" s="137"/>
      <c r="G166" s="134">
        <f t="shared" si="22"/>
        <v>55.182099999999998</v>
      </c>
      <c r="H166" s="134">
        <v>55.182099999999998</v>
      </c>
      <c r="I166" s="137"/>
      <c r="J166" s="134">
        <f t="shared" si="23"/>
        <v>11.036</v>
      </c>
      <c r="K166" s="134">
        <v>11.036</v>
      </c>
      <c r="L166" s="137"/>
      <c r="M166" s="5">
        <f t="shared" si="20"/>
        <v>40.196246262106044</v>
      </c>
      <c r="N166" s="126"/>
      <c r="O166" s="6" t="s">
        <v>551</v>
      </c>
      <c r="P166" s="32" t="s">
        <v>477</v>
      </c>
      <c r="Q166" s="21" t="s">
        <v>303</v>
      </c>
      <c r="R166" s="4"/>
    </row>
    <row r="167" spans="2:18" ht="78.75" x14ac:dyDescent="0.25">
      <c r="B167" s="6"/>
      <c r="C167" s="80" t="s">
        <v>552</v>
      </c>
      <c r="D167" s="134">
        <f t="shared" si="21"/>
        <v>3.9</v>
      </c>
      <c r="E167" s="134">
        <v>3.9</v>
      </c>
      <c r="F167" s="137"/>
      <c r="G167" s="134">
        <f t="shared" si="22"/>
        <v>3.9</v>
      </c>
      <c r="H167" s="134">
        <v>3.9</v>
      </c>
      <c r="I167" s="137"/>
      <c r="J167" s="134">
        <f t="shared" si="23"/>
        <v>0</v>
      </c>
      <c r="K167" s="134"/>
      <c r="L167" s="137"/>
      <c r="M167" s="5">
        <f t="shared" si="20"/>
        <v>0</v>
      </c>
      <c r="N167" s="126"/>
      <c r="O167" s="6" t="s">
        <v>538</v>
      </c>
      <c r="P167" s="32" t="s">
        <v>249</v>
      </c>
      <c r="Q167" s="21" t="s">
        <v>553</v>
      </c>
      <c r="R167" s="4"/>
    </row>
    <row r="168" spans="2:18" ht="56.25" x14ac:dyDescent="0.25">
      <c r="B168" s="6"/>
      <c r="C168" s="81" t="s">
        <v>556</v>
      </c>
      <c r="D168" s="134">
        <f t="shared" si="21"/>
        <v>10</v>
      </c>
      <c r="E168" s="134">
        <v>10</v>
      </c>
      <c r="F168" s="137"/>
      <c r="G168" s="134">
        <f t="shared" si="22"/>
        <v>34</v>
      </c>
      <c r="H168" s="134">
        <v>34</v>
      </c>
      <c r="I168" s="137"/>
      <c r="J168" s="134">
        <f t="shared" si="23"/>
        <v>0</v>
      </c>
      <c r="K168" s="134"/>
      <c r="L168" s="137"/>
      <c r="M168" s="5">
        <f t="shared" si="20"/>
        <v>0</v>
      </c>
      <c r="N168" s="126"/>
      <c r="O168" s="6" t="s">
        <v>554</v>
      </c>
      <c r="P168" s="32" t="s">
        <v>478</v>
      </c>
      <c r="Q168" s="108" t="s">
        <v>555</v>
      </c>
      <c r="R168" s="4"/>
    </row>
    <row r="169" spans="2:18" ht="232.5" x14ac:dyDescent="0.25">
      <c r="B169" s="6"/>
      <c r="C169" s="107" t="s">
        <v>642</v>
      </c>
      <c r="D169" s="134">
        <f t="shared" si="21"/>
        <v>91.227429999999998</v>
      </c>
      <c r="E169" s="134">
        <v>91.227429999999998</v>
      </c>
      <c r="F169" s="137"/>
      <c r="G169" s="134">
        <f t="shared" si="22"/>
        <v>91.227429999999998</v>
      </c>
      <c r="H169" s="134">
        <v>91.227429999999998</v>
      </c>
      <c r="I169" s="137"/>
      <c r="J169" s="134">
        <f t="shared" si="23"/>
        <v>0</v>
      </c>
      <c r="K169" s="134"/>
      <c r="L169" s="137"/>
      <c r="M169" s="5">
        <f t="shared" si="20"/>
        <v>0</v>
      </c>
      <c r="N169" s="126">
        <v>100</v>
      </c>
      <c r="O169" s="6" t="s">
        <v>557</v>
      </c>
      <c r="P169" s="32" t="s">
        <v>493</v>
      </c>
      <c r="Q169" s="108" t="s">
        <v>558</v>
      </c>
      <c r="R169" s="4"/>
    </row>
    <row r="170" spans="2:18" x14ac:dyDescent="0.25">
      <c r="B170" s="6"/>
      <c r="C170" s="26"/>
      <c r="D170" s="134">
        <f t="shared" si="21"/>
        <v>5.5000000000000003E-4</v>
      </c>
      <c r="E170" s="134">
        <v>5.5000000000000003E-4</v>
      </c>
      <c r="F170" s="137"/>
      <c r="G170" s="134">
        <f t="shared" si="22"/>
        <v>0</v>
      </c>
      <c r="H170" s="134"/>
      <c r="I170" s="137"/>
      <c r="J170" s="134">
        <f t="shared" si="23"/>
        <v>0</v>
      </c>
      <c r="K170" s="134"/>
      <c r="L170" s="137"/>
      <c r="M170" s="5">
        <f t="shared" si="20"/>
        <v>0</v>
      </c>
      <c r="N170" s="126"/>
      <c r="O170" s="6"/>
      <c r="P170" s="32"/>
      <c r="Q170" s="21"/>
      <c r="R170" s="4"/>
    </row>
    <row r="171" spans="2:18" x14ac:dyDescent="0.25">
      <c r="B171" s="42"/>
      <c r="C171" s="9" t="s">
        <v>19</v>
      </c>
      <c r="D171" s="134">
        <f t="shared" si="21"/>
        <v>739.44138999999996</v>
      </c>
      <c r="E171" s="137">
        <f>SUM(E122:E170)</f>
        <v>336.50019999999995</v>
      </c>
      <c r="F171" s="137">
        <f>SUM(F122:F170)</f>
        <v>402.94119000000006</v>
      </c>
      <c r="G171" s="134">
        <f t="shared" si="22"/>
        <v>926.65377999999987</v>
      </c>
      <c r="H171" s="137">
        <f>SUM(H122:H170)</f>
        <v>482.42392999999993</v>
      </c>
      <c r="I171" s="137">
        <f>SUM(I122:I170)</f>
        <v>444.22984999999994</v>
      </c>
      <c r="J171" s="134">
        <f t="shared" si="23"/>
        <v>548.79323999999997</v>
      </c>
      <c r="K171" s="137">
        <f>SUM(K122:K170)</f>
        <v>195.70110999999994</v>
      </c>
      <c r="L171" s="137">
        <f>SUM(L122:L170)</f>
        <v>353.09213</v>
      </c>
      <c r="M171" s="5">
        <f t="shared" si="20"/>
        <v>74.217273663839663</v>
      </c>
      <c r="N171" s="126"/>
      <c r="O171" s="42"/>
      <c r="P171" s="43"/>
      <c r="Q171" s="43"/>
      <c r="R171" s="4"/>
    </row>
    <row r="172" spans="2:18" x14ac:dyDescent="0.25">
      <c r="B172" s="42"/>
      <c r="C172" s="9"/>
      <c r="D172" s="134"/>
      <c r="E172" s="137"/>
      <c r="F172" s="137"/>
      <c r="G172" s="134"/>
      <c r="H172" s="137"/>
      <c r="I172" s="137"/>
      <c r="J172" s="134"/>
      <c r="K172" s="137"/>
      <c r="L172" s="137"/>
      <c r="M172" s="5"/>
      <c r="N172" s="126"/>
      <c r="O172" s="42"/>
      <c r="P172" s="43"/>
      <c r="Q172" s="43"/>
      <c r="R172" s="8"/>
    </row>
    <row r="173" spans="2:18" ht="25.5" x14ac:dyDescent="0.25">
      <c r="B173" s="42" t="s">
        <v>240</v>
      </c>
      <c r="C173" s="35" t="s">
        <v>241</v>
      </c>
      <c r="D173" s="134"/>
      <c r="E173" s="137"/>
      <c r="F173" s="137"/>
      <c r="G173" s="134"/>
      <c r="H173" s="137"/>
      <c r="I173" s="137"/>
      <c r="J173" s="134"/>
      <c r="K173" s="137"/>
      <c r="L173" s="137"/>
      <c r="M173" s="5"/>
      <c r="N173" s="126"/>
      <c r="O173" s="6"/>
      <c r="P173" s="76"/>
      <c r="Q173" s="7"/>
      <c r="R173" s="4"/>
    </row>
    <row r="174" spans="2:18" ht="45" x14ac:dyDescent="0.25">
      <c r="B174" s="42" t="s">
        <v>242</v>
      </c>
      <c r="C174" s="35" t="s">
        <v>243</v>
      </c>
      <c r="D174" s="134"/>
      <c r="E174" s="133"/>
      <c r="F174" s="133"/>
      <c r="G174" s="134"/>
      <c r="H174" s="134"/>
      <c r="I174" s="135"/>
      <c r="J174" s="134"/>
      <c r="K174" s="134"/>
      <c r="L174" s="134"/>
      <c r="M174" s="5"/>
      <c r="N174" s="126"/>
      <c r="O174" s="3"/>
      <c r="P174" s="79"/>
      <c r="Q174" s="3"/>
      <c r="R174" s="4"/>
    </row>
    <row r="175" spans="2:18" ht="56.25" x14ac:dyDescent="0.25">
      <c r="B175" s="6"/>
      <c r="C175" s="26" t="s">
        <v>244</v>
      </c>
      <c r="D175" s="134">
        <f t="shared" si="21"/>
        <v>0.68500000000000005</v>
      </c>
      <c r="E175" s="134">
        <v>0.68500000000000005</v>
      </c>
      <c r="F175" s="134"/>
      <c r="G175" s="134">
        <f t="shared" si="22"/>
        <v>0.68500000000000005</v>
      </c>
      <c r="H175" s="133">
        <v>0.68500000000000005</v>
      </c>
      <c r="I175" s="134"/>
      <c r="J175" s="134">
        <f t="shared" si="23"/>
        <v>0.68500000000000005</v>
      </c>
      <c r="K175" s="133">
        <v>0.68500000000000005</v>
      </c>
      <c r="L175" s="137"/>
      <c r="M175" s="5">
        <f t="shared" si="20"/>
        <v>100</v>
      </c>
      <c r="N175" s="126"/>
      <c r="O175" s="44" t="s">
        <v>245</v>
      </c>
      <c r="P175" s="39">
        <v>23</v>
      </c>
      <c r="Q175" s="21" t="s">
        <v>246</v>
      </c>
      <c r="R175" s="8"/>
    </row>
    <row r="176" spans="2:18" ht="101.25" x14ac:dyDescent="0.25">
      <c r="B176" s="6"/>
      <c r="C176" s="45" t="s">
        <v>247</v>
      </c>
      <c r="D176" s="134">
        <f t="shared" si="21"/>
        <v>2.4420000000000002</v>
      </c>
      <c r="E176" s="137">
        <v>2.4420000000000002</v>
      </c>
      <c r="F176" s="137"/>
      <c r="G176" s="134">
        <f t="shared" si="22"/>
        <v>2.4420000000000002</v>
      </c>
      <c r="H176" s="137">
        <v>2.4420000000000002</v>
      </c>
      <c r="I176" s="141"/>
      <c r="J176" s="134">
        <f t="shared" si="23"/>
        <v>0</v>
      </c>
      <c r="K176" s="145"/>
      <c r="L176" s="137"/>
      <c r="M176" s="5">
        <f t="shared" si="20"/>
        <v>0</v>
      </c>
      <c r="N176" s="126"/>
      <c r="O176" s="6" t="s">
        <v>248</v>
      </c>
      <c r="P176" s="39" t="s">
        <v>249</v>
      </c>
      <c r="Q176" s="25" t="s">
        <v>250</v>
      </c>
      <c r="R176" s="4"/>
    </row>
    <row r="177" spans="2:18" ht="90" x14ac:dyDescent="0.25">
      <c r="B177" s="6"/>
      <c r="C177" s="45" t="s">
        <v>251</v>
      </c>
      <c r="D177" s="134">
        <f t="shared" si="21"/>
        <v>5</v>
      </c>
      <c r="E177" s="137">
        <v>5</v>
      </c>
      <c r="F177" s="137"/>
      <c r="G177" s="134">
        <f t="shared" si="22"/>
        <v>5</v>
      </c>
      <c r="H177" s="137">
        <v>5</v>
      </c>
      <c r="I177" s="141"/>
      <c r="J177" s="134">
        <f t="shared" si="23"/>
        <v>1</v>
      </c>
      <c r="K177" s="145">
        <f>0.2+0.05+0.2+0.55</f>
        <v>1</v>
      </c>
      <c r="L177" s="137"/>
      <c r="M177" s="5">
        <f t="shared" si="20"/>
        <v>20</v>
      </c>
      <c r="N177" s="126"/>
      <c r="O177" s="6" t="s">
        <v>128</v>
      </c>
      <c r="P177" s="39" t="s">
        <v>252</v>
      </c>
      <c r="Q177" s="46" t="s">
        <v>253</v>
      </c>
      <c r="R177" s="4"/>
    </row>
    <row r="178" spans="2:18" ht="22.5" hidden="1" x14ac:dyDescent="0.25">
      <c r="B178" s="6"/>
      <c r="C178" s="93" t="s">
        <v>254</v>
      </c>
      <c r="D178" s="134">
        <f t="shared" si="21"/>
        <v>0</v>
      </c>
      <c r="E178" s="137"/>
      <c r="F178" s="137"/>
      <c r="G178" s="134">
        <f t="shared" si="22"/>
        <v>33.5779</v>
      </c>
      <c r="H178" s="137"/>
      <c r="I178" s="137">
        <v>33.5779</v>
      </c>
      <c r="J178" s="134">
        <f t="shared" si="23"/>
        <v>0</v>
      </c>
      <c r="K178" s="145"/>
      <c r="L178" s="137"/>
      <c r="M178" s="5" t="e">
        <f t="shared" si="20"/>
        <v>#DIV/0!</v>
      </c>
      <c r="N178" s="126"/>
      <c r="O178" s="6"/>
      <c r="P178" s="39"/>
      <c r="Q178" s="93"/>
      <c r="R178" s="4"/>
    </row>
    <row r="179" spans="2:18" ht="96" x14ac:dyDescent="0.25">
      <c r="B179" s="6"/>
      <c r="C179" s="107" t="s">
        <v>561</v>
      </c>
      <c r="D179" s="134">
        <f t="shared" si="21"/>
        <v>1.5</v>
      </c>
      <c r="E179" s="137">
        <v>1.5</v>
      </c>
      <c r="F179" s="137"/>
      <c r="G179" s="134">
        <f t="shared" si="22"/>
        <v>4</v>
      </c>
      <c r="H179" s="137">
        <v>4</v>
      </c>
      <c r="I179" s="141"/>
      <c r="J179" s="134">
        <f t="shared" si="23"/>
        <v>0</v>
      </c>
      <c r="K179" s="145"/>
      <c r="L179" s="137"/>
      <c r="M179" s="5">
        <f t="shared" si="20"/>
        <v>0</v>
      </c>
      <c r="N179" s="126"/>
      <c r="O179" s="6" t="s">
        <v>560</v>
      </c>
      <c r="P179" s="39" t="s">
        <v>479</v>
      </c>
      <c r="Q179" s="93" t="s">
        <v>559</v>
      </c>
      <c r="R179" s="4"/>
    </row>
    <row r="180" spans="2:18" x14ac:dyDescent="0.25">
      <c r="B180" s="6"/>
      <c r="C180" s="107"/>
      <c r="D180" s="134">
        <f t="shared" si="21"/>
        <v>4.04</v>
      </c>
      <c r="E180" s="137">
        <v>4.04</v>
      </c>
      <c r="F180" s="137"/>
      <c r="G180" s="134"/>
      <c r="H180" s="137"/>
      <c r="I180" s="141"/>
      <c r="J180" s="134"/>
      <c r="K180" s="145"/>
      <c r="L180" s="137"/>
      <c r="M180" s="5"/>
      <c r="N180" s="126"/>
      <c r="O180" s="6"/>
      <c r="P180" s="115"/>
      <c r="Q180" s="98"/>
      <c r="R180" s="4"/>
    </row>
    <row r="181" spans="2:18" x14ac:dyDescent="0.25">
      <c r="B181" s="6"/>
      <c r="C181" s="34" t="s">
        <v>19</v>
      </c>
      <c r="D181" s="134">
        <f t="shared" si="21"/>
        <v>13.667000000000002</v>
      </c>
      <c r="E181" s="137">
        <f>SUM(E175:E180)</f>
        <v>13.667000000000002</v>
      </c>
      <c r="F181" s="137">
        <f>SUM(F175:F179)</f>
        <v>0</v>
      </c>
      <c r="G181" s="134">
        <f t="shared" si="22"/>
        <v>45.704900000000002</v>
      </c>
      <c r="H181" s="137">
        <f>SUM(H175:H179)</f>
        <v>12.127000000000001</v>
      </c>
      <c r="I181" s="137">
        <f>SUM(I175:I179)</f>
        <v>33.5779</v>
      </c>
      <c r="J181" s="134">
        <f t="shared" si="23"/>
        <v>1.6850000000000001</v>
      </c>
      <c r="K181" s="137">
        <f>SUM(K175:K179)</f>
        <v>1.6850000000000001</v>
      </c>
      <c r="L181" s="137">
        <f>SUM(L175:L179)</f>
        <v>0</v>
      </c>
      <c r="M181" s="5">
        <f t="shared" si="20"/>
        <v>12.328967586156434</v>
      </c>
      <c r="N181" s="126"/>
      <c r="O181" s="6"/>
      <c r="P181" s="76"/>
      <c r="Q181" s="7"/>
      <c r="R181" s="4"/>
    </row>
    <row r="182" spans="2:18" x14ac:dyDescent="0.25">
      <c r="B182" s="6"/>
      <c r="C182" s="34"/>
      <c r="D182" s="134"/>
      <c r="E182" s="137"/>
      <c r="F182" s="137"/>
      <c r="G182" s="134"/>
      <c r="H182" s="137"/>
      <c r="I182" s="137"/>
      <c r="J182" s="134"/>
      <c r="K182" s="137"/>
      <c r="L182" s="137"/>
      <c r="M182" s="5"/>
      <c r="N182" s="126"/>
      <c r="O182" s="6"/>
      <c r="P182" s="76"/>
      <c r="Q182" s="7"/>
      <c r="R182" s="8"/>
    </row>
    <row r="183" spans="2:18" ht="38.25" x14ac:dyDescent="0.25">
      <c r="B183" s="6" t="s">
        <v>255</v>
      </c>
      <c r="C183" s="47" t="s">
        <v>256</v>
      </c>
      <c r="D183" s="134"/>
      <c r="E183" s="149"/>
      <c r="F183" s="149"/>
      <c r="G183" s="134"/>
      <c r="H183" s="149"/>
      <c r="I183" s="149"/>
      <c r="J183" s="134"/>
      <c r="K183" s="149"/>
      <c r="L183" s="149"/>
      <c r="M183" s="5"/>
      <c r="N183" s="126"/>
      <c r="O183" s="6"/>
      <c r="P183" s="64"/>
      <c r="Q183" s="25"/>
      <c r="R183" s="4"/>
    </row>
    <row r="184" spans="2:18" ht="64.5" x14ac:dyDescent="0.25">
      <c r="B184" s="6"/>
      <c r="C184" s="107" t="s">
        <v>563</v>
      </c>
      <c r="D184" s="134">
        <f t="shared" si="21"/>
        <v>16.190000000000001</v>
      </c>
      <c r="E184" s="149">
        <v>16.190000000000001</v>
      </c>
      <c r="F184" s="149"/>
      <c r="G184" s="134">
        <f t="shared" si="22"/>
        <v>80.948849999999993</v>
      </c>
      <c r="H184" s="149">
        <v>80.948849999999993</v>
      </c>
      <c r="I184" s="149"/>
      <c r="J184" s="134">
        <f t="shared" si="23"/>
        <v>0</v>
      </c>
      <c r="K184" s="149"/>
      <c r="L184" s="149"/>
      <c r="M184" s="5">
        <f t="shared" si="20"/>
        <v>0</v>
      </c>
      <c r="N184" s="126">
        <v>100</v>
      </c>
      <c r="O184" s="6" t="s">
        <v>562</v>
      </c>
      <c r="P184" s="64" t="s">
        <v>430</v>
      </c>
      <c r="Q184" s="108" t="s">
        <v>190</v>
      </c>
      <c r="R184" s="4"/>
    </row>
    <row r="185" spans="2:18" ht="96.75" customHeight="1" x14ac:dyDescent="0.25">
      <c r="B185" s="6"/>
      <c r="C185" s="107" t="s">
        <v>643</v>
      </c>
      <c r="D185" s="134">
        <f t="shared" si="21"/>
        <v>10</v>
      </c>
      <c r="E185" s="149">
        <v>10</v>
      </c>
      <c r="F185" s="149"/>
      <c r="G185" s="134">
        <f t="shared" si="22"/>
        <v>34</v>
      </c>
      <c r="H185" s="149">
        <v>34</v>
      </c>
      <c r="I185" s="149"/>
      <c r="J185" s="134">
        <f t="shared" si="23"/>
        <v>0</v>
      </c>
      <c r="K185" s="149"/>
      <c r="L185" s="149"/>
      <c r="M185" s="5">
        <f t="shared" si="20"/>
        <v>0</v>
      </c>
      <c r="N185" s="126"/>
      <c r="O185" s="6" t="s">
        <v>554</v>
      </c>
      <c r="P185" s="64">
        <v>71</v>
      </c>
      <c r="Q185" s="108" t="s">
        <v>555</v>
      </c>
      <c r="R185" s="4"/>
    </row>
    <row r="186" spans="2:18" x14ac:dyDescent="0.25">
      <c r="B186" s="6"/>
      <c r="C186" s="45" t="s">
        <v>19</v>
      </c>
      <c r="D186" s="134">
        <f t="shared" si="21"/>
        <v>26.19</v>
      </c>
      <c r="E186" s="149">
        <f>SUM(E184:E185)</f>
        <v>26.19</v>
      </c>
      <c r="F186" s="149">
        <f>SUM(F184:F185)</f>
        <v>0</v>
      </c>
      <c r="G186" s="134">
        <f t="shared" si="22"/>
        <v>114.94884999999999</v>
      </c>
      <c r="H186" s="149">
        <f>SUM(H184:H185)</f>
        <v>114.94884999999999</v>
      </c>
      <c r="I186" s="149">
        <f>SUM(I184:I185)</f>
        <v>0</v>
      </c>
      <c r="J186" s="134">
        <f t="shared" si="23"/>
        <v>0</v>
      </c>
      <c r="K186" s="149">
        <f>SUM(K184:K185)</f>
        <v>0</v>
      </c>
      <c r="L186" s="149">
        <f>SUM(L184:L185)</f>
        <v>0</v>
      </c>
      <c r="M186" s="5">
        <f t="shared" ref="M186:M245" si="24">J186/D186%</f>
        <v>0</v>
      </c>
      <c r="N186" s="126"/>
      <c r="O186" s="6"/>
      <c r="P186" s="64"/>
      <c r="Q186" s="25"/>
      <c r="R186" s="4"/>
    </row>
    <row r="187" spans="2:18" x14ac:dyDescent="0.25">
      <c r="B187" s="6"/>
      <c r="C187" s="45"/>
      <c r="D187" s="134"/>
      <c r="E187" s="149"/>
      <c r="F187" s="149"/>
      <c r="G187" s="134"/>
      <c r="H187" s="149"/>
      <c r="I187" s="149"/>
      <c r="J187" s="134"/>
      <c r="K187" s="149"/>
      <c r="L187" s="149"/>
      <c r="M187" s="5"/>
      <c r="N187" s="126"/>
      <c r="O187" s="6"/>
      <c r="P187" s="64"/>
      <c r="Q187" s="25"/>
      <c r="R187" s="8"/>
    </row>
    <row r="188" spans="2:18" ht="67.5" x14ac:dyDescent="0.25">
      <c r="B188" s="42" t="s">
        <v>257</v>
      </c>
      <c r="C188" s="35" t="s">
        <v>258</v>
      </c>
      <c r="D188" s="134"/>
      <c r="E188" s="133"/>
      <c r="F188" s="133"/>
      <c r="G188" s="134"/>
      <c r="H188" s="134"/>
      <c r="I188" s="135"/>
      <c r="J188" s="134"/>
      <c r="K188" s="134"/>
      <c r="L188" s="134"/>
      <c r="M188" s="5"/>
      <c r="N188" s="126"/>
      <c r="O188" s="3"/>
      <c r="P188" s="79"/>
      <c r="Q188" s="3"/>
      <c r="R188" s="4"/>
    </row>
    <row r="189" spans="2:18" ht="45" x14ac:dyDescent="0.25">
      <c r="B189" s="42"/>
      <c r="C189" s="33" t="s">
        <v>324</v>
      </c>
      <c r="D189" s="134">
        <f t="shared" ref="D189" si="25">E189+F189</f>
        <v>3</v>
      </c>
      <c r="E189" s="137">
        <v>3</v>
      </c>
      <c r="F189" s="137"/>
      <c r="G189" s="134">
        <f t="shared" ref="G189" si="26">H189+I189</f>
        <v>3</v>
      </c>
      <c r="H189" s="137">
        <v>3</v>
      </c>
      <c r="I189" s="137"/>
      <c r="J189" s="134">
        <f t="shared" ref="J189" si="27">K189+L189</f>
        <v>0</v>
      </c>
      <c r="K189" s="137"/>
      <c r="L189" s="137"/>
      <c r="M189" s="5">
        <f t="shared" ref="M189" si="28">J189/D189%</f>
        <v>0</v>
      </c>
      <c r="N189" s="126"/>
      <c r="O189" s="15" t="s">
        <v>116</v>
      </c>
      <c r="P189" s="60" t="s">
        <v>147</v>
      </c>
      <c r="Q189" s="104" t="s">
        <v>325</v>
      </c>
      <c r="R189" s="4"/>
    </row>
    <row r="190" spans="2:18" ht="56.25" x14ac:dyDescent="0.25">
      <c r="B190" s="42"/>
      <c r="C190" s="81" t="s">
        <v>428</v>
      </c>
      <c r="D190" s="134">
        <f t="shared" si="21"/>
        <v>69.272000000000006</v>
      </c>
      <c r="E190" s="134">
        <f>69.272</f>
        <v>69.272000000000006</v>
      </c>
      <c r="F190" s="133"/>
      <c r="G190" s="134">
        <f t="shared" si="22"/>
        <v>69.271960000000007</v>
      </c>
      <c r="H190" s="134">
        <v>69.271960000000007</v>
      </c>
      <c r="I190" s="135"/>
      <c r="J190" s="134">
        <f t="shared" si="23"/>
        <v>42.95431</v>
      </c>
      <c r="K190" s="134">
        <v>42.95431</v>
      </c>
      <c r="L190" s="134"/>
      <c r="M190" s="161">
        <f>(J190+J191)/D190%</f>
        <v>71.622343804134431</v>
      </c>
      <c r="N190" s="161"/>
      <c r="O190" s="191" t="s">
        <v>564</v>
      </c>
      <c r="P190" s="192" t="s">
        <v>430</v>
      </c>
      <c r="Q190" s="80" t="s">
        <v>431</v>
      </c>
      <c r="R190" s="4"/>
    </row>
    <row r="191" spans="2:18" ht="58.5" customHeight="1" x14ac:dyDescent="0.25">
      <c r="B191" s="42"/>
      <c r="C191" s="81" t="s">
        <v>429</v>
      </c>
      <c r="D191" s="134">
        <f t="shared" si="21"/>
        <v>0</v>
      </c>
      <c r="E191" s="137"/>
      <c r="F191" s="134"/>
      <c r="G191" s="134">
        <f t="shared" si="22"/>
        <v>0</v>
      </c>
      <c r="H191" s="141"/>
      <c r="I191" s="137"/>
      <c r="J191" s="134">
        <f t="shared" si="23"/>
        <v>6.6599199999999996</v>
      </c>
      <c r="K191" s="137">
        <v>6.6599199999999996</v>
      </c>
      <c r="L191" s="137"/>
      <c r="M191" s="162"/>
      <c r="N191" s="162"/>
      <c r="O191" s="191"/>
      <c r="P191" s="192"/>
      <c r="Q191" s="80" t="s">
        <v>638</v>
      </c>
      <c r="R191" s="4"/>
    </row>
    <row r="192" spans="2:18" x14ac:dyDescent="0.25">
      <c r="B192" s="42"/>
      <c r="C192" s="35" t="s">
        <v>19</v>
      </c>
      <c r="D192" s="134">
        <f t="shared" si="21"/>
        <v>72.272000000000006</v>
      </c>
      <c r="E192" s="134">
        <f>SUM(E189:E191)</f>
        <v>72.272000000000006</v>
      </c>
      <c r="F192" s="134">
        <f>SUM(F189:F191)</f>
        <v>0</v>
      </c>
      <c r="G192" s="134">
        <f t="shared" si="22"/>
        <v>72.271960000000007</v>
      </c>
      <c r="H192" s="134">
        <f>SUM(H189:H191)</f>
        <v>72.271960000000007</v>
      </c>
      <c r="I192" s="134">
        <f>SUM(I189:I191)</f>
        <v>0</v>
      </c>
      <c r="J192" s="134">
        <f t="shared" si="23"/>
        <v>49.614229999999999</v>
      </c>
      <c r="K192" s="134">
        <f>SUM(K189:K191)</f>
        <v>49.614229999999999</v>
      </c>
      <c r="L192" s="134">
        <f>SUM(L189:L191)</f>
        <v>0</v>
      </c>
      <c r="M192" s="5">
        <f t="shared" si="24"/>
        <v>68.649310936462243</v>
      </c>
      <c r="N192" s="126"/>
      <c r="O192" s="42"/>
      <c r="P192" s="90"/>
      <c r="Q192" s="49"/>
      <c r="R192" s="4"/>
    </row>
    <row r="193" spans="2:18" hidden="1" x14ac:dyDescent="0.25">
      <c r="B193" s="42"/>
      <c r="C193" s="35"/>
      <c r="D193" s="134"/>
      <c r="E193" s="134"/>
      <c r="F193" s="134"/>
      <c r="G193" s="134"/>
      <c r="H193" s="134"/>
      <c r="I193" s="134"/>
      <c r="J193" s="134"/>
      <c r="K193" s="134"/>
      <c r="L193" s="134"/>
      <c r="M193" s="5"/>
      <c r="N193" s="126"/>
      <c r="O193" s="42"/>
      <c r="P193" s="90"/>
      <c r="Q193" s="49"/>
      <c r="R193" s="4"/>
    </row>
    <row r="194" spans="2:18" ht="25.5" hidden="1" x14ac:dyDescent="0.25">
      <c r="B194" s="69" t="s">
        <v>259</v>
      </c>
      <c r="C194" s="35" t="s">
        <v>260</v>
      </c>
      <c r="D194" s="134"/>
      <c r="E194" s="134"/>
      <c r="F194" s="134"/>
      <c r="G194" s="134"/>
      <c r="H194" s="134"/>
      <c r="I194" s="134"/>
      <c r="J194" s="134"/>
      <c r="K194" s="134"/>
      <c r="L194" s="134"/>
      <c r="M194" s="5" t="e">
        <f t="shared" si="24"/>
        <v>#DIV/0!</v>
      </c>
      <c r="N194" s="126"/>
      <c r="O194" s="42"/>
      <c r="P194" s="90"/>
      <c r="Q194" s="49"/>
      <c r="R194" s="4"/>
    </row>
    <row r="195" spans="2:18" hidden="1" x14ac:dyDescent="0.25">
      <c r="B195" s="42"/>
      <c r="C195" s="33"/>
      <c r="D195" s="134"/>
      <c r="E195" s="134"/>
      <c r="F195" s="134"/>
      <c r="G195" s="134"/>
      <c r="H195" s="134"/>
      <c r="I195" s="134"/>
      <c r="J195" s="134"/>
      <c r="K195" s="134"/>
      <c r="L195" s="134"/>
      <c r="M195" s="5" t="e">
        <f t="shared" si="24"/>
        <v>#DIV/0!</v>
      </c>
      <c r="N195" s="126"/>
      <c r="O195" s="6"/>
      <c r="P195" s="76"/>
      <c r="Q195" s="18"/>
      <c r="R195" s="4"/>
    </row>
    <row r="196" spans="2:18" hidden="1" x14ac:dyDescent="0.25">
      <c r="B196" s="42"/>
      <c r="C196" s="35"/>
      <c r="D196" s="134"/>
      <c r="E196" s="134"/>
      <c r="F196" s="134"/>
      <c r="G196" s="134"/>
      <c r="H196" s="134"/>
      <c r="I196" s="134"/>
      <c r="J196" s="134"/>
      <c r="K196" s="134"/>
      <c r="L196" s="134"/>
      <c r="M196" s="5" t="e">
        <f t="shared" si="24"/>
        <v>#DIV/0!</v>
      </c>
      <c r="N196" s="126"/>
      <c r="O196" s="42"/>
      <c r="P196" s="90"/>
      <c r="Q196" s="49"/>
      <c r="R196" s="50"/>
    </row>
    <row r="197" spans="2:18" ht="33.75" x14ac:dyDescent="0.25">
      <c r="B197" s="42" t="s">
        <v>261</v>
      </c>
      <c r="C197" s="35" t="s">
        <v>262</v>
      </c>
      <c r="D197" s="134"/>
      <c r="E197" s="133"/>
      <c r="F197" s="133"/>
      <c r="G197" s="134"/>
      <c r="H197" s="134"/>
      <c r="I197" s="135"/>
      <c r="J197" s="134"/>
      <c r="K197" s="134"/>
      <c r="L197" s="134"/>
      <c r="M197" s="5"/>
      <c r="N197" s="126"/>
      <c r="O197" s="3"/>
      <c r="P197" s="79"/>
      <c r="Q197" s="3"/>
      <c r="R197" s="4"/>
    </row>
    <row r="198" spans="2:18" ht="22.5" x14ac:dyDescent="0.25">
      <c r="B198" s="6"/>
      <c r="C198" s="26" t="s">
        <v>263</v>
      </c>
      <c r="D198" s="134">
        <f t="shared" si="21"/>
        <v>550</v>
      </c>
      <c r="E198" s="134"/>
      <c r="F198" s="144">
        <v>550</v>
      </c>
      <c r="G198" s="134">
        <f t="shared" si="22"/>
        <v>0</v>
      </c>
      <c r="H198" s="134"/>
      <c r="I198" s="144"/>
      <c r="J198" s="134">
        <f t="shared" si="23"/>
        <v>0</v>
      </c>
      <c r="K198" s="137"/>
      <c r="L198" s="137"/>
      <c r="M198" s="5">
        <f t="shared" si="24"/>
        <v>0</v>
      </c>
      <c r="N198" s="126"/>
      <c r="O198" s="16"/>
      <c r="P198" s="62"/>
      <c r="Q198" s="21"/>
      <c r="R198" s="4"/>
    </row>
    <row r="199" spans="2:18" ht="18" x14ac:dyDescent="0.25">
      <c r="B199" s="6"/>
      <c r="C199" s="51" t="s">
        <v>264</v>
      </c>
      <c r="D199" s="134">
        <f t="shared" ref="D199:D265" si="29">E199+F199</f>
        <v>1E-4</v>
      </c>
      <c r="E199" s="137"/>
      <c r="F199" s="150">
        <v>1E-4</v>
      </c>
      <c r="G199" s="134">
        <f t="shared" ref="G199:G265" si="30">H199+I199</f>
        <v>0</v>
      </c>
      <c r="H199" s="137"/>
      <c r="I199" s="150"/>
      <c r="J199" s="134">
        <f t="shared" ref="J199:J265" si="31">K199+L199</f>
        <v>0</v>
      </c>
      <c r="K199" s="137"/>
      <c r="L199" s="137"/>
      <c r="M199" s="5">
        <f t="shared" si="24"/>
        <v>0</v>
      </c>
      <c r="N199" s="126"/>
      <c r="O199" s="6"/>
      <c r="P199" s="32"/>
      <c r="Q199" s="48"/>
      <c r="R199" s="4"/>
    </row>
    <row r="200" spans="2:18" ht="18" x14ac:dyDescent="0.25">
      <c r="B200" s="6"/>
      <c r="C200" s="51" t="s">
        <v>265</v>
      </c>
      <c r="D200" s="134">
        <f t="shared" si="29"/>
        <v>0.90410000000000001</v>
      </c>
      <c r="E200" s="137"/>
      <c r="F200" s="150">
        <v>0.90410000000000001</v>
      </c>
      <c r="G200" s="134">
        <f t="shared" si="30"/>
        <v>0</v>
      </c>
      <c r="H200" s="137"/>
      <c r="I200" s="150"/>
      <c r="J200" s="134">
        <f t="shared" si="31"/>
        <v>0</v>
      </c>
      <c r="K200" s="137"/>
      <c r="L200" s="137"/>
      <c r="M200" s="5">
        <f t="shared" si="24"/>
        <v>0</v>
      </c>
      <c r="N200" s="126"/>
      <c r="O200" s="6"/>
      <c r="P200" s="32"/>
      <c r="Q200" s="48"/>
      <c r="R200" s="4"/>
    </row>
    <row r="201" spans="2:18" ht="33.75" x14ac:dyDescent="0.25">
      <c r="B201" s="6"/>
      <c r="C201" s="26" t="s">
        <v>266</v>
      </c>
      <c r="D201" s="134">
        <f t="shared" si="29"/>
        <v>1.5673299999999999</v>
      </c>
      <c r="E201" s="137"/>
      <c r="F201" s="139">
        <v>1.5673299999999999</v>
      </c>
      <c r="G201" s="134">
        <f t="shared" si="30"/>
        <v>0</v>
      </c>
      <c r="H201" s="137"/>
      <c r="I201" s="139"/>
      <c r="J201" s="134">
        <f t="shared" si="31"/>
        <v>0</v>
      </c>
      <c r="K201" s="137"/>
      <c r="L201" s="137"/>
      <c r="M201" s="5">
        <f t="shared" si="24"/>
        <v>0</v>
      </c>
      <c r="N201" s="126"/>
      <c r="O201" s="52"/>
      <c r="P201" s="88"/>
      <c r="Q201" s="21"/>
      <c r="R201" s="4"/>
    </row>
    <row r="202" spans="2:18" ht="33.75" x14ac:dyDescent="0.25">
      <c r="B202" s="6"/>
      <c r="C202" s="40" t="s">
        <v>267</v>
      </c>
      <c r="D202" s="134">
        <f t="shared" si="29"/>
        <v>32.613030000000002</v>
      </c>
      <c r="E202" s="137"/>
      <c r="F202" s="139">
        <v>32.613030000000002</v>
      </c>
      <c r="G202" s="134">
        <f t="shared" si="30"/>
        <v>0</v>
      </c>
      <c r="H202" s="137"/>
      <c r="I202" s="139"/>
      <c r="J202" s="134">
        <f t="shared" si="31"/>
        <v>0</v>
      </c>
      <c r="K202" s="137"/>
      <c r="L202" s="137"/>
      <c r="M202" s="5">
        <f t="shared" si="24"/>
        <v>0</v>
      </c>
      <c r="N202" s="126"/>
      <c r="O202" s="38"/>
      <c r="P202" s="32"/>
      <c r="Q202" s="40"/>
      <c r="R202" s="4"/>
    </row>
    <row r="203" spans="2:18" x14ac:dyDescent="0.25">
      <c r="B203" s="42"/>
      <c r="C203" s="35" t="s">
        <v>19</v>
      </c>
      <c r="D203" s="134">
        <f t="shared" si="29"/>
        <v>585.0845599999999</v>
      </c>
      <c r="E203" s="134">
        <f>SUM(E198:E202)</f>
        <v>0</v>
      </c>
      <c r="F203" s="134">
        <f>SUM(F198:F202)</f>
        <v>585.0845599999999</v>
      </c>
      <c r="G203" s="134">
        <f t="shared" si="30"/>
        <v>0</v>
      </c>
      <c r="H203" s="134">
        <f>SUM(H198:H202)</f>
        <v>0</v>
      </c>
      <c r="I203" s="134">
        <f>SUM(I198:I202)</f>
        <v>0</v>
      </c>
      <c r="J203" s="134">
        <f t="shared" si="31"/>
        <v>0</v>
      </c>
      <c r="K203" s="134">
        <f>SUM(K198:K202)</f>
        <v>0</v>
      </c>
      <c r="L203" s="134">
        <f>SUM(L198:L202)</f>
        <v>0</v>
      </c>
      <c r="M203" s="5">
        <f t="shared" si="24"/>
        <v>0</v>
      </c>
      <c r="N203" s="126"/>
      <c r="O203" s="6"/>
      <c r="P203" s="76"/>
      <c r="Q203" s="11"/>
      <c r="R203" s="8"/>
    </row>
    <row r="204" spans="2:18" x14ac:dyDescent="0.25">
      <c r="B204" s="42"/>
      <c r="C204" s="35"/>
      <c r="D204" s="134"/>
      <c r="E204" s="134"/>
      <c r="F204" s="134"/>
      <c r="G204" s="134"/>
      <c r="H204" s="134"/>
      <c r="I204" s="134"/>
      <c r="J204" s="134"/>
      <c r="K204" s="134"/>
      <c r="L204" s="134"/>
      <c r="M204" s="5"/>
      <c r="N204" s="126"/>
      <c r="O204" s="6"/>
      <c r="P204" s="76"/>
      <c r="Q204" s="7"/>
      <c r="R204" s="4"/>
    </row>
    <row r="205" spans="2:18" ht="38.25" x14ac:dyDescent="0.25">
      <c r="B205" s="42" t="s">
        <v>268</v>
      </c>
      <c r="C205" s="9" t="s">
        <v>269</v>
      </c>
      <c r="D205" s="134"/>
      <c r="E205" s="133"/>
      <c r="F205" s="133"/>
      <c r="G205" s="134"/>
      <c r="H205" s="134"/>
      <c r="I205" s="135"/>
      <c r="J205" s="134"/>
      <c r="K205" s="134"/>
      <c r="L205" s="134"/>
      <c r="M205" s="5"/>
      <c r="N205" s="126"/>
      <c r="O205" s="3"/>
      <c r="P205" s="79"/>
      <c r="Q205" s="3"/>
      <c r="R205" s="4"/>
    </row>
    <row r="206" spans="2:18" ht="258" customHeight="1" x14ac:dyDescent="0.25">
      <c r="B206" s="6"/>
      <c r="C206" s="53" t="s">
        <v>270</v>
      </c>
      <c r="D206" s="134">
        <f t="shared" si="29"/>
        <v>25.390999999999998</v>
      </c>
      <c r="E206" s="151">
        <v>25.390999999999998</v>
      </c>
      <c r="F206" s="152"/>
      <c r="G206" s="134">
        <f t="shared" si="30"/>
        <v>25.390999999999998</v>
      </c>
      <c r="H206" s="151">
        <v>25.390999999999998</v>
      </c>
      <c r="I206" s="151"/>
      <c r="J206" s="134">
        <f t="shared" si="31"/>
        <v>25.390999999999998</v>
      </c>
      <c r="K206" s="151">
        <v>25.390999999999998</v>
      </c>
      <c r="L206" s="137"/>
      <c r="M206" s="5">
        <f t="shared" si="24"/>
        <v>100</v>
      </c>
      <c r="N206" s="126"/>
      <c r="O206" s="54" t="s">
        <v>271</v>
      </c>
      <c r="P206" s="78" t="s">
        <v>272</v>
      </c>
      <c r="Q206" s="21" t="s">
        <v>273</v>
      </c>
      <c r="R206" s="4"/>
    </row>
    <row r="207" spans="2:18" ht="191.25" x14ac:dyDescent="0.25">
      <c r="B207" s="6"/>
      <c r="C207" s="45" t="s">
        <v>274</v>
      </c>
      <c r="D207" s="134">
        <f t="shared" si="29"/>
        <v>60.722490000000001</v>
      </c>
      <c r="E207" s="134">
        <v>60.722490000000001</v>
      </c>
      <c r="F207" s="134"/>
      <c r="G207" s="134">
        <f t="shared" si="30"/>
        <v>121.44498</v>
      </c>
      <c r="H207" s="134">
        <v>121.44498</v>
      </c>
      <c r="I207" s="151"/>
      <c r="J207" s="134">
        <f t="shared" si="31"/>
        <v>60.722490000000001</v>
      </c>
      <c r="K207" s="151">
        <v>60.722490000000001</v>
      </c>
      <c r="L207" s="137"/>
      <c r="M207" s="5">
        <f t="shared" si="24"/>
        <v>100.00000000000001</v>
      </c>
      <c r="N207" s="126"/>
      <c r="O207" s="15" t="s">
        <v>275</v>
      </c>
      <c r="P207" s="78"/>
      <c r="Q207" s="21" t="s">
        <v>276</v>
      </c>
      <c r="R207" s="4"/>
    </row>
    <row r="208" spans="2:18" ht="393.75" x14ac:dyDescent="0.25">
      <c r="B208" s="6"/>
      <c r="C208" s="127" t="s">
        <v>644</v>
      </c>
      <c r="D208" s="134">
        <f t="shared" si="29"/>
        <v>280</v>
      </c>
      <c r="E208" s="151">
        <v>280</v>
      </c>
      <c r="F208" s="134"/>
      <c r="G208" s="134">
        <f t="shared" si="30"/>
        <v>550</v>
      </c>
      <c r="H208" s="151">
        <v>550</v>
      </c>
      <c r="I208" s="151"/>
      <c r="J208" s="134">
        <f t="shared" si="31"/>
        <v>275.94799999999998</v>
      </c>
      <c r="K208" s="151">
        <f>50.623+73.456+50.623+50.623+50.623</f>
        <v>275.94799999999998</v>
      </c>
      <c r="L208" s="137"/>
      <c r="M208" s="5">
        <f t="shared" si="24"/>
        <v>98.552857142857135</v>
      </c>
      <c r="N208" s="126"/>
      <c r="O208" s="15" t="s">
        <v>277</v>
      </c>
      <c r="P208" s="78">
        <v>6</v>
      </c>
      <c r="Q208" s="21" t="s">
        <v>273</v>
      </c>
      <c r="R208" s="4"/>
    </row>
    <row r="209" spans="2:18" ht="90" x14ac:dyDescent="0.25">
      <c r="B209" s="6"/>
      <c r="C209" s="124" t="s">
        <v>278</v>
      </c>
      <c r="D209" s="134">
        <f t="shared" si="29"/>
        <v>63.709000000000003</v>
      </c>
      <c r="E209" s="151">
        <f>0.057+63.652</f>
        <v>63.709000000000003</v>
      </c>
      <c r="F209" s="134"/>
      <c r="G209" s="134">
        <f t="shared" si="30"/>
        <v>139.97999999999999</v>
      </c>
      <c r="H209" s="151">
        <v>139.97999999999999</v>
      </c>
      <c r="I209" s="151"/>
      <c r="J209" s="134">
        <f t="shared" si="31"/>
        <v>55.045999999999999</v>
      </c>
      <c r="K209" s="151">
        <f>12.386+18.772+12.386+11.502</f>
        <v>55.045999999999999</v>
      </c>
      <c r="L209" s="137"/>
      <c r="M209" s="5">
        <f t="shared" si="24"/>
        <v>86.402235163006793</v>
      </c>
      <c r="N209" s="126"/>
      <c r="O209" s="15" t="s">
        <v>279</v>
      </c>
      <c r="P209" s="78" t="s">
        <v>280</v>
      </c>
      <c r="Q209" s="21" t="s">
        <v>281</v>
      </c>
      <c r="R209" s="4"/>
    </row>
    <row r="210" spans="2:18" ht="67.5" x14ac:dyDescent="0.25">
      <c r="B210" s="6"/>
      <c r="C210" s="26" t="s">
        <v>282</v>
      </c>
      <c r="D210" s="134">
        <f t="shared" si="29"/>
        <v>4.9000000000000004</v>
      </c>
      <c r="E210" s="151">
        <v>4.9000000000000004</v>
      </c>
      <c r="F210" s="134"/>
      <c r="G210" s="134">
        <f t="shared" si="30"/>
        <v>4.9000000000000004</v>
      </c>
      <c r="H210" s="151">
        <v>4.9000000000000004</v>
      </c>
      <c r="I210" s="151"/>
      <c r="J210" s="134">
        <f t="shared" si="31"/>
        <v>4.9000000000000004</v>
      </c>
      <c r="K210" s="151">
        <v>4.9000000000000004</v>
      </c>
      <c r="L210" s="137"/>
      <c r="M210" s="5">
        <f t="shared" si="24"/>
        <v>100</v>
      </c>
      <c r="N210" s="126"/>
      <c r="O210" s="15" t="s">
        <v>283</v>
      </c>
      <c r="P210" s="78">
        <v>139</v>
      </c>
      <c r="Q210" s="21" t="s">
        <v>49</v>
      </c>
      <c r="R210" s="4"/>
    </row>
    <row r="211" spans="2:18" x14ac:dyDescent="0.25">
      <c r="B211" s="6"/>
      <c r="C211" s="26"/>
      <c r="D211" s="134"/>
      <c r="E211" s="151"/>
      <c r="F211" s="134"/>
      <c r="G211" s="134"/>
      <c r="H211" s="151"/>
      <c r="I211" s="151"/>
      <c r="J211" s="134"/>
      <c r="K211" s="151"/>
      <c r="L211" s="137"/>
      <c r="M211" s="5"/>
      <c r="N211" s="126"/>
      <c r="O211" s="15"/>
      <c r="P211" s="78"/>
      <c r="Q211" s="21"/>
      <c r="R211" s="4"/>
    </row>
    <row r="212" spans="2:18" x14ac:dyDescent="0.25">
      <c r="B212" s="42"/>
      <c r="C212" s="34" t="s">
        <v>19</v>
      </c>
      <c r="D212" s="134">
        <f t="shared" si="29"/>
        <v>434.72248999999999</v>
      </c>
      <c r="E212" s="153">
        <f>SUM(E206:E211)</f>
        <v>434.72248999999999</v>
      </c>
      <c r="F212" s="153">
        <f>SUM(F206:F211)</f>
        <v>0</v>
      </c>
      <c r="G212" s="134">
        <f t="shared" si="30"/>
        <v>841.71598000000006</v>
      </c>
      <c r="H212" s="153">
        <f>SUM(H206:H211)</f>
        <v>841.71598000000006</v>
      </c>
      <c r="I212" s="153">
        <f>SUM(I206:I211)</f>
        <v>0</v>
      </c>
      <c r="J212" s="134">
        <f t="shared" si="31"/>
        <v>422.00748999999996</v>
      </c>
      <c r="K212" s="153">
        <f>SUM(K206:K211)</f>
        <v>422.00748999999996</v>
      </c>
      <c r="L212" s="153">
        <f>SUM(L206:L211)</f>
        <v>0</v>
      </c>
      <c r="M212" s="5">
        <f t="shared" si="24"/>
        <v>97.075145571603628</v>
      </c>
      <c r="N212" s="126"/>
      <c r="O212" s="6"/>
      <c r="P212" s="76"/>
      <c r="Q212" s="7"/>
      <c r="R212" s="4"/>
    </row>
    <row r="213" spans="2:18" x14ac:dyDescent="0.25">
      <c r="B213" s="42"/>
      <c r="C213" s="34"/>
      <c r="D213" s="134"/>
      <c r="E213" s="153"/>
      <c r="F213" s="153"/>
      <c r="G213" s="134"/>
      <c r="H213" s="153"/>
      <c r="I213" s="153"/>
      <c r="J213" s="134"/>
      <c r="K213" s="153"/>
      <c r="L213" s="153"/>
      <c r="M213" s="5"/>
      <c r="N213" s="126"/>
      <c r="O213" s="6"/>
      <c r="P213" s="76"/>
      <c r="Q213" s="7"/>
      <c r="R213" s="8"/>
    </row>
    <row r="214" spans="2:18" ht="33.75" x14ac:dyDescent="0.25">
      <c r="B214" s="42" t="s">
        <v>284</v>
      </c>
      <c r="C214" s="35" t="s">
        <v>285</v>
      </c>
      <c r="D214" s="134"/>
      <c r="E214" s="133"/>
      <c r="F214" s="133"/>
      <c r="G214" s="134"/>
      <c r="H214" s="134"/>
      <c r="I214" s="135"/>
      <c r="J214" s="134"/>
      <c r="K214" s="134"/>
      <c r="L214" s="134"/>
      <c r="M214" s="5"/>
      <c r="N214" s="126"/>
      <c r="O214" s="3"/>
      <c r="P214" s="79"/>
      <c r="Q214" s="3"/>
      <c r="R214" s="4"/>
    </row>
    <row r="215" spans="2:18" ht="102" x14ac:dyDescent="0.25">
      <c r="B215" s="70"/>
      <c r="C215" s="71" t="s">
        <v>286</v>
      </c>
      <c r="D215" s="134">
        <f t="shared" si="29"/>
        <v>367.42548999999997</v>
      </c>
      <c r="E215" s="153">
        <v>18.372489999999999</v>
      </c>
      <c r="F215" s="153">
        <v>349.053</v>
      </c>
      <c r="G215" s="134">
        <f t="shared" si="30"/>
        <v>459.27998000000002</v>
      </c>
      <c r="H215" s="145">
        <v>22.963999999999999</v>
      </c>
      <c r="I215" s="145">
        <v>436.31598000000002</v>
      </c>
      <c r="J215" s="134">
        <f t="shared" si="31"/>
        <v>0</v>
      </c>
      <c r="K215" s="145"/>
      <c r="L215" s="145"/>
      <c r="M215" s="5">
        <f t="shared" si="24"/>
        <v>0</v>
      </c>
      <c r="N215" s="126">
        <v>40</v>
      </c>
      <c r="O215" s="72" t="s">
        <v>287</v>
      </c>
      <c r="P215" s="32" t="s">
        <v>288</v>
      </c>
      <c r="Q215" s="71" t="s">
        <v>237</v>
      </c>
      <c r="R215" s="8" t="s">
        <v>289</v>
      </c>
    </row>
    <row r="216" spans="2:18" ht="56.25" x14ac:dyDescent="0.25">
      <c r="B216" s="42"/>
      <c r="C216" s="81" t="s">
        <v>556</v>
      </c>
      <c r="D216" s="134">
        <f t="shared" si="29"/>
        <v>10</v>
      </c>
      <c r="E216" s="145">
        <v>10</v>
      </c>
      <c r="F216" s="145"/>
      <c r="G216" s="134">
        <f t="shared" si="30"/>
        <v>10</v>
      </c>
      <c r="H216" s="145">
        <v>10</v>
      </c>
      <c r="I216" s="145"/>
      <c r="J216" s="134">
        <f t="shared" si="31"/>
        <v>0</v>
      </c>
      <c r="K216" s="145"/>
      <c r="L216" s="145"/>
      <c r="M216" s="5">
        <f t="shared" si="24"/>
        <v>0</v>
      </c>
      <c r="N216" s="126"/>
      <c r="O216" s="6" t="s">
        <v>554</v>
      </c>
      <c r="P216" s="32" t="s">
        <v>478</v>
      </c>
      <c r="Q216" s="108" t="s">
        <v>555</v>
      </c>
      <c r="R216" s="4"/>
    </row>
    <row r="217" spans="2:18" x14ac:dyDescent="0.25">
      <c r="B217" s="42"/>
      <c r="C217" s="55" t="s">
        <v>19</v>
      </c>
      <c r="D217" s="134">
        <f t="shared" si="29"/>
        <v>377.42548999999997</v>
      </c>
      <c r="E217" s="153">
        <f>SUM(E215:E216)</f>
        <v>28.372489999999999</v>
      </c>
      <c r="F217" s="153">
        <f>SUM(F215:F216)</f>
        <v>349.053</v>
      </c>
      <c r="G217" s="134">
        <f t="shared" si="30"/>
        <v>459.27998000000002</v>
      </c>
      <c r="H217" s="153">
        <v>22.963999999999999</v>
      </c>
      <c r="I217" s="153">
        <v>436.31598000000002</v>
      </c>
      <c r="J217" s="134">
        <f t="shared" si="31"/>
        <v>0</v>
      </c>
      <c r="K217" s="153">
        <v>0</v>
      </c>
      <c r="L217" s="153">
        <v>0</v>
      </c>
      <c r="M217" s="5">
        <f t="shared" si="24"/>
        <v>0</v>
      </c>
      <c r="N217" s="126"/>
      <c r="O217" s="6"/>
      <c r="P217" s="76"/>
      <c r="Q217" s="7"/>
      <c r="R217" s="4"/>
    </row>
    <row r="218" spans="2:18" x14ac:dyDescent="0.25">
      <c r="B218" s="42"/>
      <c r="C218" s="55"/>
      <c r="D218" s="134"/>
      <c r="E218" s="153"/>
      <c r="F218" s="153"/>
      <c r="G218" s="134"/>
      <c r="H218" s="153"/>
      <c r="I218" s="153"/>
      <c r="J218" s="134"/>
      <c r="K218" s="153"/>
      <c r="L218" s="153"/>
      <c r="M218" s="5"/>
      <c r="N218" s="126"/>
      <c r="O218" s="6"/>
      <c r="P218" s="76"/>
      <c r="Q218" s="7"/>
      <c r="R218" s="4"/>
    </row>
    <row r="219" spans="2:18" ht="45" hidden="1" x14ac:dyDescent="0.25">
      <c r="B219" s="42" t="s">
        <v>290</v>
      </c>
      <c r="C219" s="117" t="s">
        <v>291</v>
      </c>
      <c r="D219" s="134"/>
      <c r="E219" s="145"/>
      <c r="F219" s="145"/>
      <c r="G219" s="134"/>
      <c r="H219" s="145"/>
      <c r="I219" s="145"/>
      <c r="J219" s="134"/>
      <c r="K219" s="145"/>
      <c r="L219" s="145"/>
      <c r="M219" s="5"/>
      <c r="N219" s="126"/>
      <c r="O219" s="42"/>
      <c r="P219" s="43"/>
      <c r="Q219" s="57"/>
      <c r="R219" s="4"/>
    </row>
    <row r="220" spans="2:18" hidden="1" x14ac:dyDescent="0.25">
      <c r="B220" s="6"/>
      <c r="C220" s="53"/>
      <c r="D220" s="134">
        <f t="shared" si="29"/>
        <v>0</v>
      </c>
      <c r="E220" s="145"/>
      <c r="F220" s="145"/>
      <c r="G220" s="134">
        <f t="shared" si="30"/>
        <v>0</v>
      </c>
      <c r="H220" s="145"/>
      <c r="I220" s="145"/>
      <c r="J220" s="134">
        <f t="shared" si="31"/>
        <v>0</v>
      </c>
      <c r="K220" s="145"/>
      <c r="L220" s="145"/>
      <c r="M220" s="5" t="e">
        <f t="shared" si="24"/>
        <v>#DIV/0!</v>
      </c>
      <c r="N220" s="126"/>
      <c r="O220" s="6"/>
      <c r="P220" s="32"/>
      <c r="Q220" s="58"/>
      <c r="R220" s="4"/>
    </row>
    <row r="221" spans="2:18" hidden="1" x14ac:dyDescent="0.25">
      <c r="B221" s="42"/>
      <c r="C221" s="117"/>
      <c r="D221" s="134">
        <f t="shared" si="29"/>
        <v>0</v>
      </c>
      <c r="E221" s="145"/>
      <c r="F221" s="145"/>
      <c r="G221" s="134">
        <f t="shared" si="30"/>
        <v>0</v>
      </c>
      <c r="H221" s="145"/>
      <c r="I221" s="145"/>
      <c r="J221" s="134">
        <f t="shared" si="31"/>
        <v>0</v>
      </c>
      <c r="K221" s="145"/>
      <c r="L221" s="145"/>
      <c r="M221" s="5" t="e">
        <f t="shared" si="24"/>
        <v>#DIV/0!</v>
      </c>
      <c r="N221" s="126"/>
      <c r="O221" s="42"/>
      <c r="P221" s="43"/>
      <c r="Q221" s="57"/>
      <c r="R221" s="4"/>
    </row>
    <row r="222" spans="2:18" hidden="1" x14ac:dyDescent="0.25">
      <c r="B222" s="42"/>
      <c r="C222" s="117"/>
      <c r="D222" s="134"/>
      <c r="E222" s="145"/>
      <c r="F222" s="145"/>
      <c r="G222" s="134"/>
      <c r="H222" s="145"/>
      <c r="I222" s="145"/>
      <c r="J222" s="134"/>
      <c r="K222" s="145"/>
      <c r="L222" s="145"/>
      <c r="M222" s="5" t="e">
        <f t="shared" si="24"/>
        <v>#DIV/0!</v>
      </c>
      <c r="N222" s="126"/>
      <c r="O222" s="42"/>
      <c r="P222" s="43"/>
      <c r="Q222" s="57"/>
      <c r="R222" s="4"/>
    </row>
    <row r="223" spans="2:18" ht="45" x14ac:dyDescent="0.25">
      <c r="B223" s="42" t="s">
        <v>292</v>
      </c>
      <c r="C223" s="9" t="s">
        <v>293</v>
      </c>
      <c r="D223" s="134"/>
      <c r="E223" s="133"/>
      <c r="F223" s="133"/>
      <c r="G223" s="134"/>
      <c r="H223" s="134"/>
      <c r="I223" s="135"/>
      <c r="J223" s="134"/>
      <c r="K223" s="134"/>
      <c r="L223" s="134"/>
      <c r="M223" s="5"/>
      <c r="N223" s="126"/>
      <c r="O223" s="3"/>
      <c r="P223" s="79"/>
      <c r="Q223" s="3"/>
      <c r="R223" s="4"/>
    </row>
    <row r="224" spans="2:18" ht="51" x14ac:dyDescent="0.25">
      <c r="B224" s="6"/>
      <c r="C224" s="26" t="s">
        <v>294</v>
      </c>
      <c r="D224" s="134">
        <f t="shared" si="29"/>
        <v>35.20673</v>
      </c>
      <c r="E224" s="152">
        <v>35.20673</v>
      </c>
      <c r="F224" s="152"/>
      <c r="G224" s="134">
        <f t="shared" si="30"/>
        <v>44.143770000000004</v>
      </c>
      <c r="H224" s="152">
        <v>44.143770000000004</v>
      </c>
      <c r="I224" s="152"/>
      <c r="J224" s="134">
        <f t="shared" si="31"/>
        <v>35.20673</v>
      </c>
      <c r="K224" s="152">
        <v>35.20673</v>
      </c>
      <c r="L224" s="137"/>
      <c r="M224" s="5">
        <f t="shared" si="24"/>
        <v>100</v>
      </c>
      <c r="N224" s="126">
        <v>100</v>
      </c>
      <c r="O224" s="6" t="s">
        <v>295</v>
      </c>
      <c r="P224" s="12" t="s">
        <v>296</v>
      </c>
      <c r="Q224" s="94" t="s">
        <v>297</v>
      </c>
      <c r="R224" s="4" t="s">
        <v>653</v>
      </c>
    </row>
    <row r="225" spans="2:18" ht="76.5" x14ac:dyDescent="0.25">
      <c r="B225" s="6"/>
      <c r="C225" s="26" t="s">
        <v>298</v>
      </c>
      <c r="D225" s="134">
        <f t="shared" si="29"/>
        <v>239.06126</v>
      </c>
      <c r="E225" s="136"/>
      <c r="F225" s="136">
        <v>239.06126</v>
      </c>
      <c r="G225" s="134">
        <f t="shared" si="30"/>
        <v>239.06126</v>
      </c>
      <c r="H225" s="136"/>
      <c r="I225" s="136">
        <v>239.06126</v>
      </c>
      <c r="J225" s="134">
        <f t="shared" si="31"/>
        <v>172.68503000000001</v>
      </c>
      <c r="K225" s="136"/>
      <c r="L225" s="137">
        <f>50.99563+121.6894</f>
        <v>172.68503000000001</v>
      </c>
      <c r="M225" s="5">
        <f t="shared" si="24"/>
        <v>72.234635590894158</v>
      </c>
      <c r="N225" s="126">
        <v>100</v>
      </c>
      <c r="O225" s="6" t="s">
        <v>299</v>
      </c>
      <c r="P225" s="12">
        <v>130</v>
      </c>
      <c r="Q225" s="59" t="s">
        <v>300</v>
      </c>
      <c r="R225" s="4"/>
    </row>
    <row r="226" spans="2:18" ht="56.25" x14ac:dyDescent="0.25">
      <c r="B226" s="6"/>
      <c r="C226" s="110" t="s">
        <v>654</v>
      </c>
      <c r="D226" s="134">
        <f t="shared" si="29"/>
        <v>45.447670000000002</v>
      </c>
      <c r="E226" s="136">
        <v>45.447670000000002</v>
      </c>
      <c r="F226" s="136"/>
      <c r="G226" s="134">
        <f t="shared" si="30"/>
        <v>120.28867</v>
      </c>
      <c r="H226" s="136">
        <v>120.28867</v>
      </c>
      <c r="I226" s="136"/>
      <c r="J226" s="134">
        <f t="shared" si="31"/>
        <v>24.056000000000001</v>
      </c>
      <c r="K226" s="136">
        <v>24.056000000000001</v>
      </c>
      <c r="L226" s="137"/>
      <c r="M226" s="5">
        <f t="shared" si="24"/>
        <v>52.931206374276172</v>
      </c>
      <c r="N226" s="126">
        <v>10</v>
      </c>
      <c r="O226" s="6" t="s">
        <v>301</v>
      </c>
      <c r="P226" s="12" t="s">
        <v>302</v>
      </c>
      <c r="Q226" s="94" t="s">
        <v>303</v>
      </c>
      <c r="R226" s="4"/>
    </row>
    <row r="227" spans="2:18" ht="51" x14ac:dyDescent="0.25">
      <c r="B227" s="6"/>
      <c r="C227" s="26" t="s">
        <v>304</v>
      </c>
      <c r="D227" s="134">
        <f t="shared" si="29"/>
        <v>152.73112</v>
      </c>
      <c r="E227" s="136">
        <v>152.73112</v>
      </c>
      <c r="F227" s="136"/>
      <c r="G227" s="134">
        <f t="shared" si="30"/>
        <v>152.73134999999999</v>
      </c>
      <c r="H227" s="136">
        <v>152.73134999999999</v>
      </c>
      <c r="I227" s="136"/>
      <c r="J227" s="134">
        <f t="shared" si="31"/>
        <v>146.95289</v>
      </c>
      <c r="K227" s="136">
        <f>60+77.15132+9.80157</f>
        <v>146.95289</v>
      </c>
      <c r="L227" s="137"/>
      <c r="M227" s="5">
        <f t="shared" si="24"/>
        <v>96.216730421409864</v>
      </c>
      <c r="N227" s="126">
        <v>100</v>
      </c>
      <c r="O227" s="20" t="s">
        <v>305</v>
      </c>
      <c r="P227" s="12">
        <v>103</v>
      </c>
      <c r="Q227" s="94" t="s">
        <v>303</v>
      </c>
      <c r="R227" s="4"/>
    </row>
    <row r="228" spans="2:18" ht="45" x14ac:dyDescent="0.25">
      <c r="B228" s="6"/>
      <c r="C228" s="26" t="s">
        <v>306</v>
      </c>
      <c r="D228" s="134">
        <f t="shared" si="29"/>
        <v>110.59381999999999</v>
      </c>
      <c r="E228" s="136">
        <v>110.59381999999999</v>
      </c>
      <c r="F228" s="136"/>
      <c r="G228" s="134">
        <f t="shared" si="30"/>
        <v>110.59381999999999</v>
      </c>
      <c r="H228" s="136">
        <v>110.59381999999999</v>
      </c>
      <c r="I228" s="136"/>
      <c r="J228" s="134">
        <f t="shared" si="31"/>
        <v>106.01395000000001</v>
      </c>
      <c r="K228" s="136">
        <f>45.26718+59.28012+1.46665</f>
        <v>106.01395000000001</v>
      </c>
      <c r="L228" s="137"/>
      <c r="M228" s="5">
        <f t="shared" si="24"/>
        <v>95.858837320204699</v>
      </c>
      <c r="N228" s="126">
        <v>100</v>
      </c>
      <c r="O228" s="29" t="s">
        <v>307</v>
      </c>
      <c r="P228" s="12" t="s">
        <v>308</v>
      </c>
      <c r="Q228" s="94" t="s">
        <v>303</v>
      </c>
      <c r="R228" s="4"/>
    </row>
    <row r="229" spans="2:18" ht="78.75" x14ac:dyDescent="0.25">
      <c r="B229" s="6"/>
      <c r="C229" s="26" t="s">
        <v>309</v>
      </c>
      <c r="D229" s="134">
        <f t="shared" si="29"/>
        <v>4.5999999999999996</v>
      </c>
      <c r="E229" s="136">
        <v>4.5999999999999996</v>
      </c>
      <c r="F229" s="136"/>
      <c r="G229" s="134">
        <f t="shared" si="30"/>
        <v>4.5999999999999996</v>
      </c>
      <c r="H229" s="136">
        <v>4.5999999999999996</v>
      </c>
      <c r="I229" s="136"/>
      <c r="J229" s="134">
        <f t="shared" si="31"/>
        <v>4.5999999999999996</v>
      </c>
      <c r="K229" s="136">
        <v>4.5999999999999996</v>
      </c>
      <c r="L229" s="137"/>
      <c r="M229" s="5">
        <f t="shared" si="24"/>
        <v>100</v>
      </c>
      <c r="N229" s="126"/>
      <c r="O229" s="29" t="s">
        <v>310</v>
      </c>
      <c r="P229" s="12" t="s">
        <v>311</v>
      </c>
      <c r="Q229" s="21" t="s">
        <v>312</v>
      </c>
      <c r="R229" s="4"/>
    </row>
    <row r="230" spans="2:18" ht="67.5" x14ac:dyDescent="0.25">
      <c r="B230" s="6"/>
      <c r="C230" s="84" t="s">
        <v>313</v>
      </c>
      <c r="D230" s="134">
        <f t="shared" si="29"/>
        <v>2.992</v>
      </c>
      <c r="E230" s="136">
        <v>2.992</v>
      </c>
      <c r="F230" s="136"/>
      <c r="G230" s="134">
        <f t="shared" si="30"/>
        <v>4.8840000000000003</v>
      </c>
      <c r="H230" s="136">
        <v>4.8840000000000003</v>
      </c>
      <c r="I230" s="136"/>
      <c r="J230" s="134">
        <f t="shared" si="31"/>
        <v>2.992</v>
      </c>
      <c r="K230" s="136">
        <f>0.924+0.396+0.836+0.836</f>
        <v>2.992</v>
      </c>
      <c r="L230" s="137"/>
      <c r="M230" s="5">
        <f t="shared" si="24"/>
        <v>100</v>
      </c>
      <c r="N230" s="126"/>
      <c r="O230" s="29" t="s">
        <v>314</v>
      </c>
      <c r="P230" s="12" t="s">
        <v>315</v>
      </c>
      <c r="Q230" s="21" t="s">
        <v>316</v>
      </c>
      <c r="R230" s="4"/>
    </row>
    <row r="231" spans="2:18" ht="124.5" x14ac:dyDescent="0.25">
      <c r="B231" s="6"/>
      <c r="C231" s="26" t="s">
        <v>317</v>
      </c>
      <c r="D231" s="134">
        <f t="shared" si="29"/>
        <v>1.1227499999999999</v>
      </c>
      <c r="E231" s="136">
        <v>1.1227499999999999</v>
      </c>
      <c r="F231" s="136"/>
      <c r="G231" s="134">
        <f t="shared" si="30"/>
        <v>126.37994</v>
      </c>
      <c r="H231" s="136">
        <v>126.37994</v>
      </c>
      <c r="I231" s="136"/>
      <c r="J231" s="134">
        <f t="shared" si="31"/>
        <v>1.1227499999999999</v>
      </c>
      <c r="K231" s="136">
        <v>1.1227499999999999</v>
      </c>
      <c r="L231" s="137"/>
      <c r="M231" s="5">
        <f t="shared" si="24"/>
        <v>100</v>
      </c>
      <c r="N231" s="126">
        <v>0</v>
      </c>
      <c r="O231" s="29" t="s">
        <v>318</v>
      </c>
      <c r="P231" s="12" t="s">
        <v>319</v>
      </c>
      <c r="Q231" s="21" t="s">
        <v>320</v>
      </c>
      <c r="R231" s="4" t="s">
        <v>650</v>
      </c>
    </row>
    <row r="232" spans="2:18" ht="135.75" x14ac:dyDescent="0.25">
      <c r="B232" s="6"/>
      <c r="C232" s="33" t="s">
        <v>526</v>
      </c>
      <c r="D232" s="134">
        <f t="shared" si="29"/>
        <v>584.37434999999994</v>
      </c>
      <c r="E232" s="136">
        <v>72.491349999999997</v>
      </c>
      <c r="F232" s="136">
        <f>510.983+0.9</f>
        <v>511.88299999999998</v>
      </c>
      <c r="G232" s="134">
        <f t="shared" si="30"/>
        <v>614.59341999999992</v>
      </c>
      <c r="H232" s="136">
        <v>102.71042</v>
      </c>
      <c r="I232" s="136">
        <v>511.88299999999998</v>
      </c>
      <c r="J232" s="134">
        <f t="shared" si="31"/>
        <v>126.20429</v>
      </c>
      <c r="K232" s="136">
        <v>6.3102900000000002</v>
      </c>
      <c r="L232" s="137">
        <v>119.89400000000001</v>
      </c>
      <c r="M232" s="5">
        <f t="shared" si="24"/>
        <v>21.596480064533978</v>
      </c>
      <c r="N232" s="126">
        <v>50</v>
      </c>
      <c r="O232" s="15" t="s">
        <v>321</v>
      </c>
      <c r="P232" s="12" t="s">
        <v>322</v>
      </c>
      <c r="Q232" s="95" t="s">
        <v>323</v>
      </c>
      <c r="R232" s="99" t="s">
        <v>606</v>
      </c>
    </row>
    <row r="233" spans="2:18" ht="45" hidden="1" x14ac:dyDescent="0.25">
      <c r="B233" s="6"/>
      <c r="C233" s="33" t="s">
        <v>324</v>
      </c>
      <c r="D233" s="134">
        <f t="shared" si="29"/>
        <v>0</v>
      </c>
      <c r="E233" s="137"/>
      <c r="F233" s="137"/>
      <c r="G233" s="134">
        <f t="shared" si="30"/>
        <v>20</v>
      </c>
      <c r="H233" s="137">
        <v>20</v>
      </c>
      <c r="I233" s="137"/>
      <c r="J233" s="134">
        <f t="shared" si="31"/>
        <v>0</v>
      </c>
      <c r="K233" s="137"/>
      <c r="L233" s="137"/>
      <c r="M233" s="5" t="e">
        <f t="shared" si="24"/>
        <v>#DIV/0!</v>
      </c>
      <c r="N233" s="126"/>
      <c r="O233" s="15" t="s">
        <v>116</v>
      </c>
      <c r="P233" s="60" t="s">
        <v>147</v>
      </c>
      <c r="Q233" s="104" t="s">
        <v>325</v>
      </c>
      <c r="R233" s="4"/>
    </row>
    <row r="234" spans="2:18" ht="67.5" x14ac:dyDescent="0.25">
      <c r="B234" s="6"/>
      <c r="C234" s="27" t="s">
        <v>326</v>
      </c>
      <c r="D234" s="134">
        <f t="shared" si="29"/>
        <v>4</v>
      </c>
      <c r="E234" s="137">
        <v>4</v>
      </c>
      <c r="F234" s="137"/>
      <c r="G234" s="134">
        <f t="shared" si="30"/>
        <v>7.548</v>
      </c>
      <c r="H234" s="137">
        <v>7.548</v>
      </c>
      <c r="I234" s="137"/>
      <c r="J234" s="134">
        <f t="shared" si="31"/>
        <v>3.944</v>
      </c>
      <c r="K234" s="137">
        <f>1.292+1.36+1.292</f>
        <v>3.944</v>
      </c>
      <c r="L234" s="137"/>
      <c r="M234" s="5">
        <f t="shared" si="24"/>
        <v>98.6</v>
      </c>
      <c r="N234" s="126"/>
      <c r="O234" s="15" t="s">
        <v>327</v>
      </c>
      <c r="P234" s="60" t="s">
        <v>328</v>
      </c>
      <c r="Q234" s="21" t="s">
        <v>329</v>
      </c>
      <c r="R234" s="4"/>
    </row>
    <row r="235" spans="2:18" ht="51" x14ac:dyDescent="0.25">
      <c r="B235" s="6"/>
      <c r="C235" s="25" t="s">
        <v>330</v>
      </c>
      <c r="D235" s="134">
        <f t="shared" si="29"/>
        <v>249.21759</v>
      </c>
      <c r="E235" s="137">
        <v>249.21759</v>
      </c>
      <c r="F235" s="137"/>
      <c r="G235" s="134">
        <f t="shared" si="30"/>
        <v>249.34854000000001</v>
      </c>
      <c r="H235" s="137">
        <v>249.34854000000001</v>
      </c>
      <c r="I235" s="137"/>
      <c r="J235" s="134">
        <f t="shared" si="31"/>
        <v>62.13982</v>
      </c>
      <c r="K235" s="137">
        <v>62.13982</v>
      </c>
      <c r="L235" s="137"/>
      <c r="M235" s="5">
        <f t="shared" si="24"/>
        <v>24.933962325853486</v>
      </c>
      <c r="N235" s="126">
        <v>100</v>
      </c>
      <c r="O235" s="15" t="s">
        <v>331</v>
      </c>
      <c r="P235" s="32">
        <v>127</v>
      </c>
      <c r="Q235" s="19" t="s">
        <v>332</v>
      </c>
      <c r="R235" s="4"/>
    </row>
    <row r="236" spans="2:18" ht="90" x14ac:dyDescent="0.25">
      <c r="B236" s="6"/>
      <c r="C236" s="33" t="s">
        <v>333</v>
      </c>
      <c r="D236" s="134">
        <f t="shared" si="29"/>
        <v>15</v>
      </c>
      <c r="E236" s="137">
        <v>15</v>
      </c>
      <c r="F236" s="137"/>
      <c r="G236" s="134">
        <f t="shared" si="30"/>
        <v>28</v>
      </c>
      <c r="H236" s="137">
        <v>28</v>
      </c>
      <c r="I236" s="137"/>
      <c r="J236" s="134">
        <f t="shared" si="31"/>
        <v>0</v>
      </c>
      <c r="K236" s="137"/>
      <c r="L236" s="137"/>
      <c r="M236" s="5">
        <f t="shared" si="24"/>
        <v>0</v>
      </c>
      <c r="N236" s="126"/>
      <c r="O236" s="15" t="s">
        <v>334</v>
      </c>
      <c r="P236" s="60" t="s">
        <v>335</v>
      </c>
      <c r="Q236" s="21" t="s">
        <v>336</v>
      </c>
      <c r="R236" s="4"/>
    </row>
    <row r="237" spans="2:18" ht="22.5" x14ac:dyDescent="0.25">
      <c r="B237" s="6"/>
      <c r="C237" s="33" t="s">
        <v>337</v>
      </c>
      <c r="D237" s="134">
        <f t="shared" si="29"/>
        <v>7.9000000000000001E-4</v>
      </c>
      <c r="E237" s="137"/>
      <c r="F237" s="137">
        <v>7.9000000000000001E-4</v>
      </c>
      <c r="G237" s="134">
        <f t="shared" si="30"/>
        <v>0</v>
      </c>
      <c r="H237" s="137"/>
      <c r="I237" s="137"/>
      <c r="J237" s="134">
        <f t="shared" si="31"/>
        <v>0</v>
      </c>
      <c r="K237" s="137"/>
      <c r="L237" s="137"/>
      <c r="M237" s="5">
        <f t="shared" si="24"/>
        <v>0</v>
      </c>
      <c r="N237" s="126"/>
      <c r="O237" s="15"/>
      <c r="P237" s="60"/>
      <c r="Q237" s="21"/>
      <c r="R237" s="4"/>
    </row>
    <row r="238" spans="2:18" ht="22.5" x14ac:dyDescent="0.25">
      <c r="B238" s="6"/>
      <c r="C238" s="33" t="s">
        <v>525</v>
      </c>
      <c r="D238" s="134">
        <f t="shared" si="29"/>
        <v>1.30938</v>
      </c>
      <c r="E238" s="137"/>
      <c r="F238" s="137">
        <v>1.30938</v>
      </c>
      <c r="G238" s="134">
        <f t="shared" si="30"/>
        <v>0</v>
      </c>
      <c r="H238" s="137"/>
      <c r="I238" s="137"/>
      <c r="J238" s="134">
        <f t="shared" si="31"/>
        <v>0</v>
      </c>
      <c r="K238" s="137"/>
      <c r="L238" s="137"/>
      <c r="M238" s="5">
        <f t="shared" si="24"/>
        <v>0</v>
      </c>
      <c r="N238" s="126"/>
      <c r="O238" s="15"/>
      <c r="P238" s="60"/>
      <c r="Q238" s="21"/>
      <c r="R238" s="4"/>
    </row>
    <row r="239" spans="2:18" x14ac:dyDescent="0.25">
      <c r="B239" s="6"/>
      <c r="C239" s="33" t="s">
        <v>527</v>
      </c>
      <c r="D239" s="134"/>
      <c r="E239" s="137"/>
      <c r="F239" s="137">
        <v>8.9388000000000005</v>
      </c>
      <c r="G239" s="134"/>
      <c r="H239" s="137"/>
      <c r="I239" s="137"/>
      <c r="J239" s="134"/>
      <c r="K239" s="137"/>
      <c r="L239" s="137"/>
      <c r="M239" s="5"/>
      <c r="N239" s="126"/>
      <c r="O239" s="15"/>
      <c r="P239" s="60"/>
      <c r="Q239" s="21"/>
      <c r="R239" s="4"/>
    </row>
    <row r="240" spans="2:18" ht="67.5" x14ac:dyDescent="0.25">
      <c r="B240" s="6"/>
      <c r="C240" s="80" t="s">
        <v>607</v>
      </c>
      <c r="D240" s="134">
        <f t="shared" si="29"/>
        <v>12.67356</v>
      </c>
      <c r="E240" s="137">
        <v>12.67356</v>
      </c>
      <c r="F240" s="137"/>
      <c r="G240" s="134">
        <f t="shared" si="30"/>
        <v>12.67356</v>
      </c>
      <c r="H240" s="137">
        <v>12.67356</v>
      </c>
      <c r="I240" s="137"/>
      <c r="J240" s="134">
        <f t="shared" si="31"/>
        <v>12.67356</v>
      </c>
      <c r="K240" s="137">
        <v>12.67356</v>
      </c>
      <c r="L240" s="137"/>
      <c r="M240" s="5">
        <f t="shared" si="24"/>
        <v>100</v>
      </c>
      <c r="N240" s="126"/>
      <c r="O240" s="15" t="s">
        <v>517</v>
      </c>
      <c r="P240" s="76" t="s">
        <v>400</v>
      </c>
      <c r="Q240" s="108" t="s">
        <v>403</v>
      </c>
      <c r="R240" s="4"/>
    </row>
    <row r="241" spans="2:19" ht="101.25" x14ac:dyDescent="0.25">
      <c r="B241" s="6"/>
      <c r="C241" s="80" t="s">
        <v>608</v>
      </c>
      <c r="D241" s="134">
        <f t="shared" si="29"/>
        <v>0.16120000000000001</v>
      </c>
      <c r="E241" s="137"/>
      <c r="F241" s="137">
        <v>0.16120000000000001</v>
      </c>
      <c r="G241" s="134">
        <f t="shared" si="30"/>
        <v>0.16120000000000001</v>
      </c>
      <c r="H241" s="137"/>
      <c r="I241" s="137">
        <v>0.16120000000000001</v>
      </c>
      <c r="J241" s="134">
        <f t="shared" si="31"/>
        <v>0.1608</v>
      </c>
      <c r="K241" s="137"/>
      <c r="L241" s="137">
        <v>0.1608</v>
      </c>
      <c r="M241" s="5">
        <f t="shared" si="24"/>
        <v>99.751861042183606</v>
      </c>
      <c r="N241" s="126"/>
      <c r="O241" s="6" t="s">
        <v>546</v>
      </c>
      <c r="P241" s="60" t="s">
        <v>421</v>
      </c>
      <c r="Q241" s="80" t="s">
        <v>432</v>
      </c>
      <c r="R241" s="4"/>
    </row>
    <row r="242" spans="2:19" ht="106.5" x14ac:dyDescent="0.25">
      <c r="B242" s="6"/>
      <c r="C242" s="107" t="s">
        <v>609</v>
      </c>
      <c r="D242" s="134">
        <f t="shared" si="29"/>
        <v>4</v>
      </c>
      <c r="E242" s="137">
        <v>4</v>
      </c>
      <c r="F242" s="137"/>
      <c r="G242" s="134">
        <f t="shared" si="30"/>
        <v>4.62</v>
      </c>
      <c r="H242" s="137">
        <v>4.62</v>
      </c>
      <c r="I242" s="137"/>
      <c r="J242" s="134">
        <f t="shared" si="31"/>
        <v>2.52</v>
      </c>
      <c r="K242" s="137">
        <f>1.19+1.33</f>
        <v>2.52</v>
      </c>
      <c r="L242" s="137"/>
      <c r="M242" s="5">
        <f t="shared" si="24"/>
        <v>63</v>
      </c>
      <c r="N242" s="126"/>
      <c r="O242" s="15" t="s">
        <v>610</v>
      </c>
      <c r="P242" s="60" t="s">
        <v>434</v>
      </c>
      <c r="Q242" s="80" t="s">
        <v>433</v>
      </c>
      <c r="R242" s="4"/>
    </row>
    <row r="243" spans="2:19" ht="123.75" x14ac:dyDescent="0.25">
      <c r="B243" s="6"/>
      <c r="C243" s="80" t="s">
        <v>611</v>
      </c>
      <c r="D243" s="134">
        <f t="shared" si="29"/>
        <v>19.129090000000001</v>
      </c>
      <c r="E243" s="137">
        <v>19.129090000000001</v>
      </c>
      <c r="F243" s="137"/>
      <c r="G243" s="134">
        <f t="shared" si="30"/>
        <v>76.314089999999993</v>
      </c>
      <c r="H243" s="136">
        <v>76.314089999999993</v>
      </c>
      <c r="I243" s="137"/>
      <c r="J243" s="134">
        <f t="shared" si="31"/>
        <v>19.129090000000001</v>
      </c>
      <c r="K243" s="137">
        <v>19.129090000000001</v>
      </c>
      <c r="L243" s="137"/>
      <c r="M243" s="5">
        <f t="shared" si="24"/>
        <v>100</v>
      </c>
      <c r="N243" s="126"/>
      <c r="O243" s="20" t="s">
        <v>613</v>
      </c>
      <c r="P243" s="60" t="s">
        <v>113</v>
      </c>
      <c r="Q243" s="80" t="s">
        <v>390</v>
      </c>
      <c r="R243" s="4" t="s">
        <v>612</v>
      </c>
    </row>
    <row r="244" spans="2:19" ht="45.75" customHeight="1" x14ac:dyDescent="0.25">
      <c r="B244" s="6"/>
      <c r="C244" s="81" t="s">
        <v>480</v>
      </c>
      <c r="D244" s="134">
        <f t="shared" si="29"/>
        <v>29.09544</v>
      </c>
      <c r="E244" s="137">
        <f>29.02393+0.07151</f>
        <v>29.09544</v>
      </c>
      <c r="F244" s="137"/>
      <c r="G244" s="134">
        <f t="shared" si="30"/>
        <v>55.459989999999998</v>
      </c>
      <c r="H244" s="137">
        <v>55.459989999999998</v>
      </c>
      <c r="I244" s="137"/>
      <c r="J244" s="134">
        <f t="shared" si="31"/>
        <v>29.09544</v>
      </c>
      <c r="K244" s="137">
        <f>29.09544</f>
        <v>29.09544</v>
      </c>
      <c r="L244" s="137"/>
      <c r="M244" s="5">
        <f t="shared" si="24"/>
        <v>100</v>
      </c>
      <c r="N244" s="126">
        <v>100</v>
      </c>
      <c r="O244" s="181" t="s">
        <v>614</v>
      </c>
      <c r="P244" s="189" t="s">
        <v>482</v>
      </c>
      <c r="Q244" s="121" t="s">
        <v>481</v>
      </c>
      <c r="R244" s="169" t="s">
        <v>615</v>
      </c>
    </row>
    <row r="245" spans="2:19" ht="67.5" x14ac:dyDescent="0.25">
      <c r="B245" s="6"/>
      <c r="C245" s="81" t="s">
        <v>483</v>
      </c>
      <c r="D245" s="134">
        <f t="shared" si="29"/>
        <v>9.02393</v>
      </c>
      <c r="E245" s="137">
        <v>9.02393</v>
      </c>
      <c r="F245" s="137"/>
      <c r="G245" s="134">
        <f t="shared" ref="G245" si="32">H245+I245</f>
        <v>0</v>
      </c>
      <c r="H245" s="137"/>
      <c r="I245" s="137"/>
      <c r="J245" s="134">
        <f t="shared" ref="J245" si="33">K245+L245</f>
        <v>9.02393</v>
      </c>
      <c r="K245" s="137">
        <v>9.02393</v>
      </c>
      <c r="L245" s="137"/>
      <c r="M245" s="5">
        <f t="shared" si="24"/>
        <v>100</v>
      </c>
      <c r="N245" s="126">
        <v>100</v>
      </c>
      <c r="O245" s="181"/>
      <c r="P245" s="189"/>
      <c r="Q245" s="121" t="s">
        <v>623</v>
      </c>
      <c r="R245" s="169"/>
      <c r="S245" s="87"/>
    </row>
    <row r="246" spans="2:19" ht="90" x14ac:dyDescent="0.25">
      <c r="B246" s="6"/>
      <c r="C246" s="81" t="s">
        <v>484</v>
      </c>
      <c r="D246" s="134">
        <f t="shared" si="29"/>
        <v>12.71949</v>
      </c>
      <c r="E246" s="137">
        <v>12.71949</v>
      </c>
      <c r="F246" s="137"/>
      <c r="G246" s="134">
        <f t="shared" si="30"/>
        <v>12.71949</v>
      </c>
      <c r="H246" s="137">
        <v>12.71949</v>
      </c>
      <c r="I246" s="137"/>
      <c r="J246" s="134">
        <f t="shared" si="31"/>
        <v>12.71949</v>
      </c>
      <c r="K246" s="137">
        <v>12.71949</v>
      </c>
      <c r="L246" s="137"/>
      <c r="M246" s="5">
        <f t="shared" ref="M246:M302" si="34">J246/D246%</f>
        <v>100</v>
      </c>
      <c r="N246" s="126">
        <v>100</v>
      </c>
      <c r="O246" s="15" t="s">
        <v>617</v>
      </c>
      <c r="P246" s="60" t="s">
        <v>485</v>
      </c>
      <c r="Q246" s="83" t="s">
        <v>486</v>
      </c>
      <c r="R246" s="4"/>
    </row>
    <row r="247" spans="2:19" ht="112.5" x14ac:dyDescent="0.25">
      <c r="B247" s="6"/>
      <c r="C247" s="80" t="s">
        <v>487</v>
      </c>
      <c r="D247" s="134">
        <f t="shared" ref="D247:D251" si="35">E247+F247</f>
        <v>2.9</v>
      </c>
      <c r="E247" s="137">
        <v>2.9</v>
      </c>
      <c r="F247" s="137"/>
      <c r="G247" s="134">
        <f t="shared" ref="G247:G248" si="36">H247+I247</f>
        <v>2.9</v>
      </c>
      <c r="H247" s="137">
        <v>2.9</v>
      </c>
      <c r="I247" s="137"/>
      <c r="J247" s="134">
        <f t="shared" ref="J247:J248" si="37">K247+L247</f>
        <v>2</v>
      </c>
      <c r="K247" s="137">
        <v>2</v>
      </c>
      <c r="L247" s="137"/>
      <c r="M247" s="5">
        <f t="shared" si="34"/>
        <v>68.965517241379317</v>
      </c>
      <c r="N247" s="126"/>
      <c r="O247" s="15" t="s">
        <v>618</v>
      </c>
      <c r="P247" s="60" t="s">
        <v>488</v>
      </c>
      <c r="Q247" s="80" t="s">
        <v>616</v>
      </c>
      <c r="R247" s="4"/>
    </row>
    <row r="248" spans="2:19" ht="56.25" x14ac:dyDescent="0.25">
      <c r="B248" s="6"/>
      <c r="C248" s="33" t="s">
        <v>556</v>
      </c>
      <c r="D248" s="134">
        <f t="shared" si="35"/>
        <v>10</v>
      </c>
      <c r="E248" s="137">
        <v>10</v>
      </c>
      <c r="F248" s="137"/>
      <c r="G248" s="134">
        <f t="shared" si="36"/>
        <v>34</v>
      </c>
      <c r="H248" s="137">
        <v>34</v>
      </c>
      <c r="I248" s="137"/>
      <c r="J248" s="134">
        <f t="shared" si="37"/>
        <v>0</v>
      </c>
      <c r="K248" s="137"/>
      <c r="L248" s="137"/>
      <c r="M248" s="5">
        <f t="shared" si="34"/>
        <v>0</v>
      </c>
      <c r="N248" s="126"/>
      <c r="O248" s="6" t="s">
        <v>554</v>
      </c>
      <c r="P248" s="32" t="s">
        <v>478</v>
      </c>
      <c r="Q248" s="108" t="s">
        <v>555</v>
      </c>
      <c r="R248" s="4"/>
    </row>
    <row r="249" spans="2:19" ht="96" x14ac:dyDescent="0.25">
      <c r="B249" s="6"/>
      <c r="C249" s="107" t="s">
        <v>565</v>
      </c>
      <c r="D249" s="134">
        <f t="shared" si="35"/>
        <v>21.1</v>
      </c>
      <c r="E249" s="137">
        <v>21.1</v>
      </c>
      <c r="F249" s="137"/>
      <c r="G249" s="134">
        <f t="shared" ref="G249:G251" si="38">H249+I249</f>
        <v>104.39637</v>
      </c>
      <c r="H249" s="137">
        <v>104.39637</v>
      </c>
      <c r="I249" s="137"/>
      <c r="J249" s="134">
        <f t="shared" ref="J249:J251" si="39">K249+L249</f>
        <v>0</v>
      </c>
      <c r="K249" s="137"/>
      <c r="L249" s="137"/>
      <c r="M249" s="5">
        <f t="shared" si="34"/>
        <v>0</v>
      </c>
      <c r="N249" s="119"/>
      <c r="O249" s="15" t="s">
        <v>567</v>
      </c>
      <c r="P249" s="60" t="s">
        <v>490</v>
      </c>
      <c r="Q249" s="111" t="s">
        <v>566</v>
      </c>
      <c r="R249" s="4"/>
    </row>
    <row r="250" spans="2:19" ht="64.5" x14ac:dyDescent="0.25">
      <c r="B250" s="6"/>
      <c r="C250" s="107" t="s">
        <v>568</v>
      </c>
      <c r="D250" s="134">
        <f t="shared" si="35"/>
        <v>19.55</v>
      </c>
      <c r="E250" s="137">
        <v>19.55</v>
      </c>
      <c r="F250" s="137"/>
      <c r="G250" s="134">
        <f t="shared" si="38"/>
        <v>97.575890000000001</v>
      </c>
      <c r="H250" s="137">
        <v>97.575890000000001</v>
      </c>
      <c r="I250" s="137"/>
      <c r="J250" s="134">
        <f t="shared" si="39"/>
        <v>0</v>
      </c>
      <c r="K250" s="137"/>
      <c r="L250" s="137"/>
      <c r="M250" s="5">
        <f t="shared" si="34"/>
        <v>0</v>
      </c>
      <c r="N250" s="126">
        <v>100</v>
      </c>
      <c r="O250" s="15" t="s">
        <v>570</v>
      </c>
      <c r="P250" s="60" t="s">
        <v>491</v>
      </c>
      <c r="Q250" s="108" t="s">
        <v>569</v>
      </c>
      <c r="R250" s="4"/>
    </row>
    <row r="251" spans="2:19" ht="54" x14ac:dyDescent="0.25">
      <c r="B251" s="6"/>
      <c r="C251" s="107" t="s">
        <v>573</v>
      </c>
      <c r="D251" s="134">
        <f t="shared" si="35"/>
        <v>49.64</v>
      </c>
      <c r="E251" s="137">
        <v>49.64</v>
      </c>
      <c r="F251" s="137"/>
      <c r="G251" s="134">
        <f t="shared" si="38"/>
        <v>248.2</v>
      </c>
      <c r="H251" s="137">
        <v>248.2</v>
      </c>
      <c r="I251" s="137"/>
      <c r="J251" s="134">
        <f t="shared" si="39"/>
        <v>0</v>
      </c>
      <c r="K251" s="137"/>
      <c r="L251" s="137"/>
      <c r="M251" s="5">
        <f t="shared" si="34"/>
        <v>0</v>
      </c>
      <c r="N251" s="126">
        <v>0</v>
      </c>
      <c r="O251" s="15" t="s">
        <v>571</v>
      </c>
      <c r="P251" s="60" t="s">
        <v>492</v>
      </c>
      <c r="Q251" s="108" t="s">
        <v>572</v>
      </c>
      <c r="R251" s="4"/>
    </row>
    <row r="252" spans="2:19" x14ac:dyDescent="0.25">
      <c r="B252" s="6"/>
      <c r="C252" s="33"/>
      <c r="D252" s="134">
        <f t="shared" ref="D252" si="40">E252+F252</f>
        <v>1.00946</v>
      </c>
      <c r="E252" s="137">
        <v>1.00946</v>
      </c>
      <c r="F252" s="137"/>
      <c r="G252" s="134">
        <f t="shared" ref="G252" si="41">H252+I252</f>
        <v>0</v>
      </c>
      <c r="H252" s="137"/>
      <c r="I252" s="137"/>
      <c r="J252" s="134">
        <f t="shared" ref="J252" si="42">K252+L252</f>
        <v>0</v>
      </c>
      <c r="K252" s="137"/>
      <c r="L252" s="137"/>
      <c r="M252" s="5">
        <f t="shared" si="34"/>
        <v>0</v>
      </c>
      <c r="N252" s="126"/>
      <c r="O252" s="15"/>
      <c r="P252" s="60"/>
      <c r="Q252" s="21"/>
      <c r="R252" s="4"/>
    </row>
    <row r="253" spans="2:19" x14ac:dyDescent="0.25">
      <c r="B253" s="42"/>
      <c r="C253" s="35" t="s">
        <v>19</v>
      </c>
      <c r="D253" s="134">
        <f t="shared" si="29"/>
        <v>1645.59843</v>
      </c>
      <c r="E253" s="136">
        <f>SUM(E224:E252)</f>
        <v>884.24399999999991</v>
      </c>
      <c r="F253" s="136">
        <f>SUM(F224:F252)</f>
        <v>761.35443000000009</v>
      </c>
      <c r="G253" s="134">
        <f t="shared" si="30"/>
        <v>2371.1933600000002</v>
      </c>
      <c r="H253" s="136">
        <f>SUM(H224:H252)</f>
        <v>1620.0879</v>
      </c>
      <c r="I253" s="136">
        <f>SUM(I224:I252)</f>
        <v>751.10545999999999</v>
      </c>
      <c r="J253" s="134">
        <f t="shared" si="31"/>
        <v>773.23977000000014</v>
      </c>
      <c r="K253" s="136">
        <f>SUM(K224:K252)</f>
        <v>480.49994000000009</v>
      </c>
      <c r="L253" s="136">
        <f>SUM(L224:L252)</f>
        <v>292.73982999999998</v>
      </c>
      <c r="M253" s="5">
        <f t="shared" si="34"/>
        <v>46.988363376112368</v>
      </c>
      <c r="N253" s="126"/>
      <c r="O253" s="6"/>
      <c r="P253" s="76"/>
      <c r="Q253" s="7"/>
      <c r="R253" s="8"/>
    </row>
    <row r="254" spans="2:19" x14ac:dyDescent="0.25">
      <c r="B254" s="42"/>
      <c r="C254" s="35"/>
      <c r="D254" s="134"/>
      <c r="E254" s="154"/>
      <c r="F254" s="154"/>
      <c r="G254" s="134"/>
      <c r="H254" s="136"/>
      <c r="I254" s="136"/>
      <c r="J254" s="134"/>
      <c r="K254" s="136"/>
      <c r="L254" s="136"/>
      <c r="M254" s="5"/>
      <c r="N254" s="126"/>
      <c r="O254" s="6"/>
      <c r="P254" s="76"/>
      <c r="Q254" s="7"/>
      <c r="R254" s="8"/>
    </row>
    <row r="255" spans="2:19" x14ac:dyDescent="0.25">
      <c r="B255" s="42"/>
      <c r="C255" s="35"/>
      <c r="D255" s="134"/>
      <c r="E255" s="154"/>
      <c r="F255" s="154"/>
      <c r="G255" s="134"/>
      <c r="H255" s="136"/>
      <c r="I255" s="136"/>
      <c r="J255" s="134"/>
      <c r="K255" s="136"/>
      <c r="L255" s="136"/>
      <c r="M255" s="5"/>
      <c r="N255" s="126"/>
      <c r="O255" s="6"/>
      <c r="P255" s="76"/>
      <c r="Q255" s="7"/>
      <c r="R255" s="8"/>
    </row>
    <row r="256" spans="2:19" ht="78.75" x14ac:dyDescent="0.25">
      <c r="B256" s="42" t="s">
        <v>338</v>
      </c>
      <c r="C256" s="35" t="s">
        <v>339</v>
      </c>
      <c r="D256" s="134"/>
      <c r="E256" s="155"/>
      <c r="F256" s="155"/>
      <c r="G256" s="134"/>
      <c r="H256" s="134"/>
      <c r="I256" s="135"/>
      <c r="J256" s="134"/>
      <c r="K256" s="134"/>
      <c r="L256" s="134"/>
      <c r="M256" s="5"/>
      <c r="N256" s="126"/>
      <c r="O256" s="3"/>
      <c r="P256" s="79"/>
      <c r="Q256" s="3"/>
      <c r="R256" s="4"/>
    </row>
    <row r="257" spans="2:19" ht="67.5" x14ac:dyDescent="0.25">
      <c r="B257" s="6" t="s">
        <v>340</v>
      </c>
      <c r="C257" s="26" t="s">
        <v>648</v>
      </c>
      <c r="D257" s="134">
        <f t="shared" si="29"/>
        <v>32.64602</v>
      </c>
      <c r="E257" s="134"/>
      <c r="F257" s="137">
        <v>32.64602</v>
      </c>
      <c r="G257" s="134">
        <f t="shared" si="30"/>
        <v>32.64602</v>
      </c>
      <c r="H257" s="134"/>
      <c r="I257" s="137">
        <v>32.64602</v>
      </c>
      <c r="J257" s="134">
        <f t="shared" si="31"/>
        <v>32.64602</v>
      </c>
      <c r="K257" s="137"/>
      <c r="L257" s="137">
        <v>32.64602</v>
      </c>
      <c r="M257" s="5">
        <f t="shared" si="34"/>
        <v>100</v>
      </c>
      <c r="N257" s="126"/>
      <c r="O257" s="61" t="s">
        <v>341</v>
      </c>
      <c r="P257" s="91">
        <v>19</v>
      </c>
      <c r="Q257" s="93" t="s">
        <v>342</v>
      </c>
      <c r="R257" s="4"/>
      <c r="S257" s="87"/>
    </row>
    <row r="258" spans="2:19" ht="56.25" x14ac:dyDescent="0.25">
      <c r="B258" s="6"/>
      <c r="C258" s="26" t="s">
        <v>343</v>
      </c>
      <c r="D258" s="134">
        <f t="shared" si="29"/>
        <v>70.040319999999994</v>
      </c>
      <c r="E258" s="134"/>
      <c r="F258" s="136">
        <v>70.040319999999994</v>
      </c>
      <c r="G258" s="134">
        <f t="shared" si="30"/>
        <v>70.052170000000004</v>
      </c>
      <c r="H258" s="134"/>
      <c r="I258" s="136">
        <v>70.052170000000004</v>
      </c>
      <c r="J258" s="134">
        <f t="shared" si="31"/>
        <v>65.723190000000002</v>
      </c>
      <c r="K258" s="137"/>
      <c r="L258" s="137">
        <f>50.91839+14.8048</f>
        <v>65.723190000000002</v>
      </c>
      <c r="M258" s="5">
        <f t="shared" si="34"/>
        <v>93.836221764834903</v>
      </c>
      <c r="N258" s="126">
        <v>100</v>
      </c>
      <c r="O258" s="16" t="s">
        <v>344</v>
      </c>
      <c r="P258" s="62" t="s">
        <v>345</v>
      </c>
      <c r="Q258" s="21" t="s">
        <v>237</v>
      </c>
      <c r="R258" s="4"/>
    </row>
    <row r="259" spans="2:19" ht="67.5" x14ac:dyDescent="0.25">
      <c r="B259" s="6" t="s">
        <v>78</v>
      </c>
      <c r="C259" s="26" t="s">
        <v>649</v>
      </c>
      <c r="D259" s="134">
        <f t="shared" si="29"/>
        <v>64.651510000000002</v>
      </c>
      <c r="E259" s="136"/>
      <c r="F259" s="136">
        <v>64.651510000000002</v>
      </c>
      <c r="G259" s="134">
        <f t="shared" si="30"/>
        <v>104.14041</v>
      </c>
      <c r="H259" s="156"/>
      <c r="I259" s="136">
        <v>104.14041</v>
      </c>
      <c r="J259" s="134">
        <f t="shared" si="31"/>
        <v>64.651510000000002</v>
      </c>
      <c r="K259" s="137"/>
      <c r="L259" s="136">
        <f>18.25382+46.39769</f>
        <v>64.651510000000002</v>
      </c>
      <c r="M259" s="5">
        <f t="shared" si="34"/>
        <v>100</v>
      </c>
      <c r="N259" s="126"/>
      <c r="O259" s="63" t="s">
        <v>346</v>
      </c>
      <c r="P259" s="64" t="s">
        <v>347</v>
      </c>
      <c r="Q259" s="25" t="s">
        <v>342</v>
      </c>
      <c r="R259" s="8"/>
      <c r="S259" s="87"/>
    </row>
    <row r="260" spans="2:19" x14ac:dyDescent="0.25">
      <c r="B260" s="6"/>
      <c r="C260" s="93" t="s">
        <v>348</v>
      </c>
      <c r="D260" s="134">
        <f t="shared" si="29"/>
        <v>78.764200000000002</v>
      </c>
      <c r="E260" s="137"/>
      <c r="F260" s="137">
        <v>78.764200000000002</v>
      </c>
      <c r="G260" s="134">
        <f t="shared" si="30"/>
        <v>0</v>
      </c>
      <c r="H260" s="137"/>
      <c r="I260" s="137"/>
      <c r="J260" s="134">
        <f t="shared" si="31"/>
        <v>0</v>
      </c>
      <c r="K260" s="137"/>
      <c r="L260" s="137"/>
      <c r="M260" s="5">
        <f t="shared" si="34"/>
        <v>0</v>
      </c>
      <c r="N260" s="126"/>
      <c r="O260" s="63"/>
      <c r="P260" s="64"/>
      <c r="Q260" s="25"/>
      <c r="R260" s="4"/>
    </row>
    <row r="261" spans="2:19" x14ac:dyDescent="0.25">
      <c r="B261" s="6"/>
      <c r="C261" s="93" t="s">
        <v>349</v>
      </c>
      <c r="D261" s="134">
        <f t="shared" si="29"/>
        <v>3.98447</v>
      </c>
      <c r="E261" s="137"/>
      <c r="F261" s="137">
        <v>3.98447</v>
      </c>
      <c r="G261" s="134">
        <f t="shared" si="30"/>
        <v>0</v>
      </c>
      <c r="H261" s="137"/>
      <c r="I261" s="137"/>
      <c r="J261" s="134">
        <f t="shared" si="31"/>
        <v>0</v>
      </c>
      <c r="K261" s="137"/>
      <c r="L261" s="137"/>
      <c r="M261" s="5">
        <f t="shared" si="34"/>
        <v>0</v>
      </c>
      <c r="N261" s="126"/>
      <c r="O261" s="63"/>
      <c r="P261" s="64"/>
      <c r="Q261" s="25"/>
      <c r="R261" s="8"/>
    </row>
    <row r="262" spans="2:19" ht="67.5" x14ac:dyDescent="0.25">
      <c r="B262" s="6"/>
      <c r="C262" s="81" t="s">
        <v>648</v>
      </c>
      <c r="D262" s="134">
        <f t="shared" si="29"/>
        <v>116.91424000000001</v>
      </c>
      <c r="E262" s="137"/>
      <c r="F262" s="137">
        <v>116.91424000000001</v>
      </c>
      <c r="G262" s="134">
        <f t="shared" si="30"/>
        <v>257.20109000000002</v>
      </c>
      <c r="H262" s="157"/>
      <c r="I262" s="157">
        <v>257.20109000000002</v>
      </c>
      <c r="J262" s="134">
        <f t="shared" si="31"/>
        <v>114.0802</v>
      </c>
      <c r="K262" s="137"/>
      <c r="L262" s="137">
        <f>18.30564+47.70422+48.07034</f>
        <v>114.0802</v>
      </c>
      <c r="M262" s="5">
        <f t="shared" si="34"/>
        <v>97.575966794121911</v>
      </c>
      <c r="N262" s="126"/>
      <c r="O262" s="63" t="s">
        <v>435</v>
      </c>
      <c r="P262" s="64" t="s">
        <v>436</v>
      </c>
      <c r="Q262" s="25" t="s">
        <v>342</v>
      </c>
      <c r="R262" s="8"/>
    </row>
    <row r="263" spans="2:19" ht="63.75" x14ac:dyDescent="0.25">
      <c r="B263" s="6"/>
      <c r="C263" s="81" t="s">
        <v>528</v>
      </c>
      <c r="D263" s="134">
        <f t="shared" si="29"/>
        <v>15</v>
      </c>
      <c r="E263" s="137"/>
      <c r="F263" s="137">
        <v>15</v>
      </c>
      <c r="G263" s="134">
        <f t="shared" si="30"/>
        <v>74.811999999999998</v>
      </c>
      <c r="H263" s="137"/>
      <c r="I263" s="137">
        <v>74.811999999999998</v>
      </c>
      <c r="J263" s="134">
        <f t="shared" si="31"/>
        <v>14.9</v>
      </c>
      <c r="K263" s="137"/>
      <c r="L263" s="137">
        <v>14.9</v>
      </c>
      <c r="M263" s="5">
        <f t="shared" si="34"/>
        <v>99.333333333333343</v>
      </c>
      <c r="N263" s="126">
        <v>100</v>
      </c>
      <c r="O263" s="63" t="s">
        <v>574</v>
      </c>
      <c r="P263" s="64" t="s">
        <v>494</v>
      </c>
      <c r="Q263" s="25" t="s">
        <v>495</v>
      </c>
      <c r="R263" s="8"/>
    </row>
    <row r="264" spans="2:19" ht="76.5" x14ac:dyDescent="0.25">
      <c r="B264" s="6"/>
      <c r="C264" s="93" t="s">
        <v>374</v>
      </c>
      <c r="D264" s="134">
        <f t="shared" si="29"/>
        <v>6.9130000000000003</v>
      </c>
      <c r="E264" s="137">
        <v>6.9130000000000003</v>
      </c>
      <c r="F264" s="137"/>
      <c r="G264" s="134">
        <f t="shared" si="30"/>
        <v>6.9130000000000003</v>
      </c>
      <c r="H264" s="137">
        <v>6.9130000000000003</v>
      </c>
      <c r="I264" s="136"/>
      <c r="J264" s="134">
        <f t="shared" si="31"/>
        <v>0</v>
      </c>
      <c r="K264" s="137"/>
      <c r="L264" s="137"/>
      <c r="M264" s="5">
        <f t="shared" si="34"/>
        <v>0</v>
      </c>
      <c r="N264" s="126"/>
      <c r="O264" s="63" t="s">
        <v>538</v>
      </c>
      <c r="P264" s="64" t="s">
        <v>249</v>
      </c>
      <c r="Q264" s="25" t="s">
        <v>529</v>
      </c>
      <c r="R264" s="8"/>
    </row>
    <row r="265" spans="2:19" x14ac:dyDescent="0.25">
      <c r="B265" s="42"/>
      <c r="C265" s="35" t="s">
        <v>19</v>
      </c>
      <c r="D265" s="134">
        <f t="shared" si="29"/>
        <v>388.91376000000002</v>
      </c>
      <c r="E265" s="134">
        <f>SUM(E257:E264)</f>
        <v>6.9130000000000003</v>
      </c>
      <c r="F265" s="134">
        <f>SUM(F257:F264)</f>
        <v>382.00076000000001</v>
      </c>
      <c r="G265" s="134">
        <f t="shared" si="30"/>
        <v>545.76469000000009</v>
      </c>
      <c r="H265" s="134">
        <f>SUM(H257:H264)</f>
        <v>6.9130000000000003</v>
      </c>
      <c r="I265" s="134">
        <f>SUM(I257:I264)</f>
        <v>538.85169000000008</v>
      </c>
      <c r="J265" s="134">
        <f t="shared" si="31"/>
        <v>292.00092000000001</v>
      </c>
      <c r="K265" s="134">
        <f>SUM(K257:K264)</f>
        <v>0</v>
      </c>
      <c r="L265" s="134">
        <f>SUM(L257:L264)</f>
        <v>292.00092000000001</v>
      </c>
      <c r="M265" s="5">
        <f t="shared" si="34"/>
        <v>75.081149095881827</v>
      </c>
      <c r="N265" s="126"/>
      <c r="O265" s="6"/>
      <c r="P265" s="76"/>
      <c r="Q265" s="7"/>
      <c r="R265" s="4"/>
    </row>
    <row r="266" spans="2:19" x14ac:dyDescent="0.25">
      <c r="B266" s="42"/>
      <c r="C266" s="35"/>
      <c r="D266" s="134"/>
      <c r="E266" s="158"/>
      <c r="F266" s="158"/>
      <c r="G266" s="134"/>
      <c r="H266" s="134"/>
      <c r="I266" s="134"/>
      <c r="J266" s="134"/>
      <c r="K266" s="134"/>
      <c r="L266" s="134"/>
      <c r="M266" s="5"/>
      <c r="N266" s="126"/>
      <c r="O266" s="6"/>
      <c r="P266" s="76"/>
      <c r="Q266" s="7"/>
      <c r="R266" s="4"/>
    </row>
    <row r="267" spans="2:19" ht="45" x14ac:dyDescent="0.25">
      <c r="B267" s="42" t="s">
        <v>350</v>
      </c>
      <c r="C267" s="35" t="s">
        <v>351</v>
      </c>
      <c r="D267" s="134"/>
      <c r="E267" s="133"/>
      <c r="F267" s="133"/>
      <c r="G267" s="134"/>
      <c r="H267" s="134"/>
      <c r="I267" s="135"/>
      <c r="J267" s="134"/>
      <c r="K267" s="134"/>
      <c r="L267" s="134"/>
      <c r="M267" s="5"/>
      <c r="N267" s="126"/>
      <c r="O267" s="3"/>
      <c r="P267" s="79"/>
      <c r="Q267" s="3"/>
      <c r="R267" s="4"/>
    </row>
    <row r="268" spans="2:19" ht="56.25" x14ac:dyDescent="0.25">
      <c r="B268" s="6"/>
      <c r="C268" s="26" t="s">
        <v>352</v>
      </c>
      <c r="D268" s="134">
        <f t="shared" ref="D268:D308" si="43">E268+F268</f>
        <v>0</v>
      </c>
      <c r="E268" s="148"/>
      <c r="F268" s="137"/>
      <c r="G268" s="134">
        <f t="shared" ref="G268:G308" si="44">H268+I268</f>
        <v>0</v>
      </c>
      <c r="H268" s="148"/>
      <c r="I268" s="139"/>
      <c r="J268" s="134">
        <f t="shared" ref="J268:J308" si="45">K268+L268</f>
        <v>11.99122</v>
      </c>
      <c r="K268" s="148">
        <v>11.99122</v>
      </c>
      <c r="L268" s="137"/>
      <c r="M268" s="161">
        <f>(J268+J269)/D269%</f>
        <v>86.772672405970994</v>
      </c>
      <c r="N268" s="161"/>
      <c r="O268" s="181" t="s">
        <v>353</v>
      </c>
      <c r="P268" s="189" t="s">
        <v>354</v>
      </c>
      <c r="Q268" s="170" t="s">
        <v>355</v>
      </c>
      <c r="R268" s="169" t="s">
        <v>356</v>
      </c>
    </row>
    <row r="269" spans="2:19" ht="45" x14ac:dyDescent="0.25">
      <c r="B269" s="6"/>
      <c r="C269" s="26" t="s">
        <v>357</v>
      </c>
      <c r="D269" s="134">
        <f t="shared" si="43"/>
        <v>18.184550000000002</v>
      </c>
      <c r="E269" s="137">
        <f>2.40533+3.788+11.99122</f>
        <v>18.184550000000002</v>
      </c>
      <c r="F269" s="137"/>
      <c r="G269" s="134">
        <f t="shared" si="44"/>
        <v>342.24934999999999</v>
      </c>
      <c r="H269" s="134">
        <v>342.24934999999999</v>
      </c>
      <c r="I269" s="138"/>
      <c r="J269" s="134">
        <f t="shared" si="45"/>
        <v>3.7879999999999998</v>
      </c>
      <c r="K269" s="137">
        <v>3.7879999999999998</v>
      </c>
      <c r="L269" s="137"/>
      <c r="M269" s="162"/>
      <c r="N269" s="162"/>
      <c r="O269" s="181"/>
      <c r="P269" s="189"/>
      <c r="Q269" s="170"/>
      <c r="R269" s="169"/>
    </row>
    <row r="270" spans="2:19" ht="56.25" x14ac:dyDescent="0.25">
      <c r="B270" s="6"/>
      <c r="C270" s="26" t="s">
        <v>358</v>
      </c>
      <c r="D270" s="134">
        <f t="shared" si="43"/>
        <v>7.7099799999999998</v>
      </c>
      <c r="E270" s="137">
        <v>7.7099799999999998</v>
      </c>
      <c r="F270" s="140"/>
      <c r="G270" s="134">
        <f t="shared" si="44"/>
        <v>0</v>
      </c>
      <c r="H270" s="137"/>
      <c r="I270" s="140"/>
      <c r="J270" s="134">
        <f t="shared" si="45"/>
        <v>7.7099799999999998</v>
      </c>
      <c r="K270" s="137">
        <v>7.7099799999999998</v>
      </c>
      <c r="L270" s="137"/>
      <c r="M270" s="5">
        <f t="shared" si="34"/>
        <v>100</v>
      </c>
      <c r="N270" s="126"/>
      <c r="O270" s="190" t="s">
        <v>359</v>
      </c>
      <c r="P270" s="183" t="s">
        <v>360</v>
      </c>
      <c r="Q270" s="188" t="s">
        <v>361</v>
      </c>
      <c r="R270" s="4"/>
    </row>
    <row r="271" spans="2:19" ht="79.5" x14ac:dyDescent="0.25">
      <c r="B271" s="6"/>
      <c r="C271" s="26" t="s">
        <v>362</v>
      </c>
      <c r="D271" s="134">
        <f t="shared" si="43"/>
        <v>40.551409999999997</v>
      </c>
      <c r="E271" s="137">
        <v>40.551409999999997</v>
      </c>
      <c r="F271" s="134"/>
      <c r="G271" s="134">
        <f t="shared" si="44"/>
        <v>82.021019999999993</v>
      </c>
      <c r="H271" s="137">
        <v>82.021019999999993</v>
      </c>
      <c r="I271" s="134"/>
      <c r="J271" s="134">
        <f t="shared" si="45"/>
        <v>40.551409999999997</v>
      </c>
      <c r="K271" s="137">
        <v>40.551409999999997</v>
      </c>
      <c r="L271" s="137"/>
      <c r="M271" s="5">
        <f t="shared" si="34"/>
        <v>100</v>
      </c>
      <c r="N271" s="126"/>
      <c r="O271" s="190"/>
      <c r="P271" s="183"/>
      <c r="Q271" s="188"/>
      <c r="R271" s="4" t="s">
        <v>363</v>
      </c>
    </row>
    <row r="272" spans="2:19" ht="78.75" x14ac:dyDescent="0.25">
      <c r="B272" s="6"/>
      <c r="C272" s="26" t="s">
        <v>645</v>
      </c>
      <c r="D272" s="134">
        <f t="shared" si="43"/>
        <v>1</v>
      </c>
      <c r="E272" s="137">
        <v>1</v>
      </c>
      <c r="F272" s="134"/>
      <c r="G272" s="134">
        <f t="shared" si="44"/>
        <v>1</v>
      </c>
      <c r="H272" s="134">
        <v>1</v>
      </c>
      <c r="I272" s="139"/>
      <c r="J272" s="134">
        <f t="shared" si="45"/>
        <v>0.55374999999999996</v>
      </c>
      <c r="K272" s="137">
        <v>0.55374999999999996</v>
      </c>
      <c r="L272" s="137"/>
      <c r="M272" s="5">
        <f t="shared" si="34"/>
        <v>55.374999999999993</v>
      </c>
      <c r="N272" s="126"/>
      <c r="O272" s="15" t="s">
        <v>165</v>
      </c>
      <c r="P272" s="79" t="s">
        <v>166</v>
      </c>
      <c r="Q272" s="21" t="s">
        <v>167</v>
      </c>
      <c r="R272" s="4"/>
    </row>
    <row r="273" spans="2:18" ht="67.5" x14ac:dyDescent="0.25">
      <c r="B273" s="6"/>
      <c r="C273" s="26" t="s">
        <v>364</v>
      </c>
      <c r="D273" s="134">
        <f t="shared" si="43"/>
        <v>0.75</v>
      </c>
      <c r="E273" s="137">
        <v>0.75</v>
      </c>
      <c r="F273" s="134"/>
      <c r="G273" s="134">
        <f t="shared" si="44"/>
        <v>0.75</v>
      </c>
      <c r="H273" s="137">
        <v>0.75</v>
      </c>
      <c r="I273" s="139"/>
      <c r="J273" s="134">
        <f t="shared" si="45"/>
        <v>0.75</v>
      </c>
      <c r="K273" s="137">
        <v>0.75</v>
      </c>
      <c r="L273" s="137"/>
      <c r="M273" s="5">
        <f t="shared" si="34"/>
        <v>100</v>
      </c>
      <c r="N273" s="126"/>
      <c r="O273" s="15" t="s">
        <v>365</v>
      </c>
      <c r="P273" s="32" t="s">
        <v>366</v>
      </c>
      <c r="Q273" s="21" t="s">
        <v>367</v>
      </c>
      <c r="R273" s="4"/>
    </row>
    <row r="274" spans="2:18" ht="56.25" x14ac:dyDescent="0.25">
      <c r="B274" s="6"/>
      <c r="C274" s="26" t="s">
        <v>368</v>
      </c>
      <c r="D274" s="134">
        <f t="shared" si="43"/>
        <v>4.7923200000000001</v>
      </c>
      <c r="E274" s="137">
        <v>4.7923200000000001</v>
      </c>
      <c r="F274" s="134"/>
      <c r="G274" s="134">
        <f t="shared" si="44"/>
        <v>0</v>
      </c>
      <c r="H274" s="137"/>
      <c r="I274" s="139"/>
      <c r="J274" s="134">
        <f t="shared" si="45"/>
        <v>4.7923200000000001</v>
      </c>
      <c r="K274" s="137">
        <v>4.7923200000000001</v>
      </c>
      <c r="L274" s="137"/>
      <c r="M274" s="5">
        <f t="shared" si="34"/>
        <v>100</v>
      </c>
      <c r="N274" s="126"/>
      <c r="O274" s="15" t="s">
        <v>369</v>
      </c>
      <c r="P274" s="167">
        <v>55</v>
      </c>
      <c r="Q274" s="175" t="s">
        <v>370</v>
      </c>
      <c r="R274" s="4"/>
    </row>
    <row r="275" spans="2:18" ht="68.25" x14ac:dyDescent="0.25">
      <c r="B275" s="6"/>
      <c r="C275" s="26" t="s">
        <v>371</v>
      </c>
      <c r="D275" s="134">
        <f t="shared" si="43"/>
        <v>33.713189999999997</v>
      </c>
      <c r="E275" s="137">
        <v>33.713189999999997</v>
      </c>
      <c r="F275" s="137"/>
      <c r="G275" s="134">
        <f t="shared" si="44"/>
        <v>74.882800000000003</v>
      </c>
      <c r="H275" s="137">
        <v>74.882800000000003</v>
      </c>
      <c r="I275" s="137"/>
      <c r="J275" s="134">
        <f t="shared" si="45"/>
        <v>33.713189999999997</v>
      </c>
      <c r="K275" s="137">
        <v>33.713189999999997</v>
      </c>
      <c r="L275" s="137"/>
      <c r="M275" s="5">
        <f t="shared" si="34"/>
        <v>100</v>
      </c>
      <c r="N275" s="126"/>
      <c r="O275" s="15" t="s">
        <v>369</v>
      </c>
      <c r="P275" s="167"/>
      <c r="Q275" s="175"/>
      <c r="R275" s="4" t="s">
        <v>372</v>
      </c>
    </row>
    <row r="276" spans="2:18" ht="67.5" x14ac:dyDescent="0.25">
      <c r="B276" s="6"/>
      <c r="C276" s="26" t="s">
        <v>373</v>
      </c>
      <c r="D276" s="134">
        <f t="shared" si="43"/>
        <v>27.6873</v>
      </c>
      <c r="E276" s="137">
        <v>27.6873</v>
      </c>
      <c r="F276" s="137"/>
      <c r="G276" s="134">
        <f t="shared" si="44"/>
        <v>27.6873</v>
      </c>
      <c r="H276" s="137">
        <v>27.6873</v>
      </c>
      <c r="I276" s="137"/>
      <c r="J276" s="134">
        <f t="shared" si="45"/>
        <v>27.655650000000001</v>
      </c>
      <c r="K276" s="137">
        <v>27.655650000000001</v>
      </c>
      <c r="L276" s="137"/>
      <c r="M276" s="5">
        <f t="shared" si="34"/>
        <v>99.885687661852202</v>
      </c>
      <c r="N276" s="126"/>
      <c r="O276" s="15" t="s">
        <v>228</v>
      </c>
      <c r="P276" s="79" t="s">
        <v>229</v>
      </c>
      <c r="Q276" s="21" t="s">
        <v>230</v>
      </c>
      <c r="R276" s="4"/>
    </row>
    <row r="277" spans="2:18" ht="90" x14ac:dyDescent="0.25">
      <c r="B277" s="6"/>
      <c r="C277" s="26" t="s">
        <v>374</v>
      </c>
      <c r="D277" s="134">
        <f t="shared" si="43"/>
        <v>15</v>
      </c>
      <c r="E277" s="137">
        <v>15</v>
      </c>
      <c r="F277" s="137"/>
      <c r="G277" s="134">
        <f t="shared" si="44"/>
        <v>31.984000000000002</v>
      </c>
      <c r="H277" s="137">
        <v>31.984000000000002</v>
      </c>
      <c r="I277" s="137"/>
      <c r="J277" s="134">
        <f t="shared" si="45"/>
        <v>0</v>
      </c>
      <c r="K277" s="137"/>
      <c r="L277" s="137"/>
      <c r="M277" s="5">
        <f t="shared" si="34"/>
        <v>0</v>
      </c>
      <c r="N277" s="126"/>
      <c r="O277" s="15" t="s">
        <v>375</v>
      </c>
      <c r="P277" s="60">
        <v>17</v>
      </c>
      <c r="Q277" s="21" t="s">
        <v>336</v>
      </c>
      <c r="R277" s="4"/>
    </row>
    <row r="278" spans="2:18" ht="45" x14ac:dyDescent="0.25">
      <c r="B278" s="6"/>
      <c r="C278" s="26" t="s">
        <v>145</v>
      </c>
      <c r="D278" s="134">
        <f t="shared" si="43"/>
        <v>10</v>
      </c>
      <c r="E278" s="137">
        <v>10</v>
      </c>
      <c r="F278" s="137"/>
      <c r="G278" s="134">
        <f t="shared" si="44"/>
        <v>33.6</v>
      </c>
      <c r="H278" s="137">
        <v>33.6</v>
      </c>
      <c r="I278" s="137"/>
      <c r="J278" s="134">
        <f t="shared" si="45"/>
        <v>0</v>
      </c>
      <c r="K278" s="137"/>
      <c r="L278" s="137"/>
      <c r="M278" s="5">
        <f t="shared" si="34"/>
        <v>0</v>
      </c>
      <c r="N278" s="126"/>
      <c r="O278" s="3" t="s">
        <v>146</v>
      </c>
      <c r="P278" s="79" t="s">
        <v>147</v>
      </c>
      <c r="Q278" s="104" t="s">
        <v>325</v>
      </c>
      <c r="R278" s="4"/>
    </row>
    <row r="279" spans="2:18" ht="102" x14ac:dyDescent="0.25">
      <c r="B279" s="6"/>
      <c r="C279" s="95" t="s">
        <v>619</v>
      </c>
      <c r="D279" s="134">
        <f t="shared" si="43"/>
        <v>46.913980000000002</v>
      </c>
      <c r="E279" s="137">
        <v>46.913980000000002</v>
      </c>
      <c r="F279" s="137"/>
      <c r="G279" s="134">
        <f t="shared" si="44"/>
        <v>74.882800000000003</v>
      </c>
      <c r="H279" s="137">
        <v>74.882800000000003</v>
      </c>
      <c r="I279" s="137"/>
      <c r="J279" s="134">
        <f t="shared" si="45"/>
        <v>0</v>
      </c>
      <c r="K279" s="137"/>
      <c r="L279" s="137"/>
      <c r="M279" s="5">
        <f t="shared" si="34"/>
        <v>0</v>
      </c>
      <c r="N279" s="126"/>
      <c r="O279" s="15" t="s">
        <v>369</v>
      </c>
      <c r="P279" s="60" t="s">
        <v>376</v>
      </c>
      <c r="Q279" s="21" t="s">
        <v>377</v>
      </c>
      <c r="R279" s="4" t="s">
        <v>378</v>
      </c>
    </row>
    <row r="280" spans="2:18" ht="22.5" hidden="1" x14ac:dyDescent="0.25">
      <c r="B280" s="6"/>
      <c r="C280" s="95" t="s">
        <v>379</v>
      </c>
      <c r="D280" s="134">
        <f t="shared" si="43"/>
        <v>0</v>
      </c>
      <c r="E280" s="137"/>
      <c r="F280" s="137"/>
      <c r="G280" s="134">
        <f t="shared" si="44"/>
        <v>8.1259999999999999E-2</v>
      </c>
      <c r="H280" s="137"/>
      <c r="I280" s="137">
        <v>8.1259999999999999E-2</v>
      </c>
      <c r="J280" s="134">
        <f t="shared" si="45"/>
        <v>0</v>
      </c>
      <c r="K280" s="137"/>
      <c r="L280" s="137"/>
      <c r="M280" s="5" t="e">
        <f t="shared" si="34"/>
        <v>#DIV/0!</v>
      </c>
      <c r="N280" s="126"/>
      <c r="O280" s="15"/>
      <c r="P280" s="60"/>
      <c r="Q280" s="95"/>
      <c r="R280" s="4"/>
    </row>
    <row r="281" spans="2:18" ht="33.75" hidden="1" x14ac:dyDescent="0.25">
      <c r="B281" s="6"/>
      <c r="C281" s="95" t="s">
        <v>380</v>
      </c>
      <c r="D281" s="134">
        <f t="shared" si="43"/>
        <v>0</v>
      </c>
      <c r="E281" s="137"/>
      <c r="F281" s="137"/>
      <c r="G281" s="134">
        <f t="shared" si="44"/>
        <v>86.904240000000001</v>
      </c>
      <c r="H281" s="137"/>
      <c r="I281" s="137">
        <v>86.904240000000001</v>
      </c>
      <c r="J281" s="134">
        <f t="shared" si="45"/>
        <v>0</v>
      </c>
      <c r="K281" s="137"/>
      <c r="L281" s="137"/>
      <c r="M281" s="5" t="e">
        <f t="shared" si="34"/>
        <v>#DIV/0!</v>
      </c>
      <c r="N281" s="126"/>
      <c r="O281" s="15"/>
      <c r="P281" s="60"/>
      <c r="Q281" s="21"/>
      <c r="R281" s="4"/>
    </row>
    <row r="282" spans="2:18" ht="22.5" x14ac:dyDescent="0.25">
      <c r="B282" s="65"/>
      <c r="C282" s="95" t="s">
        <v>379</v>
      </c>
      <c r="D282" s="134">
        <f t="shared" si="43"/>
        <v>6.4999999999999997E-4</v>
      </c>
      <c r="E282" s="159"/>
      <c r="F282" s="159">
        <v>6.4999999999999997E-4</v>
      </c>
      <c r="G282" s="134">
        <f t="shared" si="44"/>
        <v>0</v>
      </c>
      <c r="H282" s="159"/>
      <c r="I282" s="159"/>
      <c r="J282" s="134">
        <f t="shared" si="45"/>
        <v>0</v>
      </c>
      <c r="K282" s="159"/>
      <c r="L282" s="159"/>
      <c r="M282" s="5">
        <f t="shared" si="34"/>
        <v>0</v>
      </c>
      <c r="N282" s="126"/>
      <c r="O282" s="65"/>
      <c r="P282" s="88"/>
      <c r="Q282" s="21"/>
      <c r="R282" s="4"/>
    </row>
    <row r="283" spans="2:18" ht="56.25" x14ac:dyDescent="0.25">
      <c r="B283" s="65"/>
      <c r="C283" s="81" t="s">
        <v>646</v>
      </c>
      <c r="D283" s="134">
        <f t="shared" si="43"/>
        <v>9.8190000000000008</v>
      </c>
      <c r="E283" s="159">
        <v>9.8190000000000008</v>
      </c>
      <c r="F283" s="159"/>
      <c r="G283" s="134">
        <f t="shared" si="44"/>
        <v>9.8190000000000008</v>
      </c>
      <c r="H283" s="159">
        <v>9.8190000000000008</v>
      </c>
      <c r="I283" s="159"/>
      <c r="J283" s="134">
        <f t="shared" si="45"/>
        <v>9.8185699999999994</v>
      </c>
      <c r="K283" s="159">
        <f>7.837+1.98157</f>
        <v>9.8185699999999994</v>
      </c>
      <c r="L283" s="159"/>
      <c r="M283" s="5">
        <f t="shared" si="34"/>
        <v>99.995620735309075</v>
      </c>
      <c r="N283" s="126"/>
      <c r="O283" s="15" t="s">
        <v>517</v>
      </c>
      <c r="P283" s="76" t="s">
        <v>400</v>
      </c>
      <c r="Q283" s="108" t="s">
        <v>403</v>
      </c>
      <c r="R283" s="4"/>
    </row>
    <row r="284" spans="2:18" ht="78.75" x14ac:dyDescent="0.25">
      <c r="B284" s="65"/>
      <c r="C284" s="80" t="s">
        <v>620</v>
      </c>
      <c r="D284" s="134">
        <f t="shared" si="43"/>
        <v>12.89167</v>
      </c>
      <c r="E284" s="159">
        <v>12.89167</v>
      </c>
      <c r="F284" s="159"/>
      <c r="G284" s="134">
        <f t="shared" si="44"/>
        <v>12.89167</v>
      </c>
      <c r="H284" s="159">
        <v>12.89167</v>
      </c>
      <c r="I284" s="159"/>
      <c r="J284" s="134">
        <f t="shared" si="45"/>
        <v>9.0314200000000007</v>
      </c>
      <c r="K284" s="159">
        <f>7.41287+1.61855</f>
        <v>9.0314200000000007</v>
      </c>
      <c r="L284" s="159"/>
      <c r="M284" s="5">
        <f t="shared" si="34"/>
        <v>70.05624562217308</v>
      </c>
      <c r="N284" s="126"/>
      <c r="O284" s="65" t="s">
        <v>538</v>
      </c>
      <c r="P284" s="88">
        <v>29</v>
      </c>
      <c r="Q284" s="81" t="s">
        <v>404</v>
      </c>
      <c r="R284" s="4"/>
    </row>
    <row r="285" spans="2:18" ht="34.5" x14ac:dyDescent="0.25">
      <c r="B285" s="65"/>
      <c r="C285" s="81" t="s">
        <v>405</v>
      </c>
      <c r="D285" s="134">
        <f t="shared" si="43"/>
        <v>82.021019999999993</v>
      </c>
      <c r="E285" s="159">
        <v>82.021019999999993</v>
      </c>
      <c r="F285" s="159"/>
      <c r="G285" s="134">
        <f t="shared" si="44"/>
        <v>82.021019999999993</v>
      </c>
      <c r="H285" s="159">
        <v>82.021019999999993</v>
      </c>
      <c r="I285" s="159"/>
      <c r="J285" s="134">
        <f t="shared" si="45"/>
        <v>79.380600000000001</v>
      </c>
      <c r="K285" s="159">
        <v>79.380600000000001</v>
      </c>
      <c r="L285" s="159"/>
      <c r="M285" s="5">
        <f t="shared" si="34"/>
        <v>96.78080082398391</v>
      </c>
      <c r="N285" s="126"/>
      <c r="O285" s="65" t="s">
        <v>575</v>
      </c>
      <c r="P285" s="88" t="s">
        <v>406</v>
      </c>
      <c r="Q285" s="21" t="s">
        <v>361</v>
      </c>
      <c r="R285" s="4"/>
    </row>
    <row r="286" spans="2:18" ht="45" x14ac:dyDescent="0.25">
      <c r="B286" s="65"/>
      <c r="C286" s="123" t="s">
        <v>622</v>
      </c>
      <c r="D286" s="134">
        <f t="shared" si="43"/>
        <v>21.51446</v>
      </c>
      <c r="E286" s="159">
        <v>21.51446</v>
      </c>
      <c r="F286" s="159"/>
      <c r="G286" s="134">
        <f t="shared" si="44"/>
        <v>21.51446</v>
      </c>
      <c r="H286" s="159">
        <v>21.51446</v>
      </c>
      <c r="I286" s="159"/>
      <c r="J286" s="134">
        <f t="shared" si="45"/>
        <v>21.489850000000001</v>
      </c>
      <c r="K286" s="159">
        <v>21.489850000000001</v>
      </c>
      <c r="L286" s="159"/>
      <c r="M286" s="5">
        <f t="shared" si="34"/>
        <v>99.88561181642487</v>
      </c>
      <c r="N286" s="126"/>
      <c r="O286" s="65" t="s">
        <v>576</v>
      </c>
      <c r="P286" s="91">
        <v>80</v>
      </c>
      <c r="Q286" s="21" t="s">
        <v>496</v>
      </c>
      <c r="R286" s="4"/>
    </row>
    <row r="287" spans="2:18" ht="90" x14ac:dyDescent="0.25">
      <c r="B287" s="65"/>
      <c r="C287" s="112" t="s">
        <v>647</v>
      </c>
      <c r="D287" s="134">
        <f t="shared" si="43"/>
        <v>14.875120000000001</v>
      </c>
      <c r="E287" s="159">
        <v>14.875120000000001</v>
      </c>
      <c r="F287" s="159"/>
      <c r="G287" s="134">
        <f t="shared" si="44"/>
        <v>14.875120000000001</v>
      </c>
      <c r="H287" s="159">
        <v>14.875120000000001</v>
      </c>
      <c r="I287" s="159"/>
      <c r="J287" s="134">
        <f t="shared" si="45"/>
        <v>0</v>
      </c>
      <c r="K287" s="159"/>
      <c r="L287" s="159"/>
      <c r="M287" s="5">
        <f t="shared" si="34"/>
        <v>0</v>
      </c>
      <c r="N287" s="126">
        <v>100</v>
      </c>
      <c r="O287" s="65" t="s">
        <v>578</v>
      </c>
      <c r="P287" s="88">
        <v>57</v>
      </c>
      <c r="Q287" s="113" t="s">
        <v>577</v>
      </c>
      <c r="R287" s="4"/>
    </row>
    <row r="288" spans="2:18" ht="64.5" x14ac:dyDescent="0.25">
      <c r="B288" s="65"/>
      <c r="C288" s="107" t="s">
        <v>579</v>
      </c>
      <c r="D288" s="134">
        <f t="shared" si="43"/>
        <v>9</v>
      </c>
      <c r="E288" s="159">
        <v>9</v>
      </c>
      <c r="F288" s="159"/>
      <c r="G288" s="134">
        <f t="shared" si="44"/>
        <v>40.886920000000003</v>
      </c>
      <c r="H288" s="159">
        <v>40.886920000000003</v>
      </c>
      <c r="I288" s="159"/>
      <c r="J288" s="134">
        <f t="shared" si="45"/>
        <v>0</v>
      </c>
      <c r="K288" s="159"/>
      <c r="L288" s="159"/>
      <c r="M288" s="5">
        <f t="shared" si="34"/>
        <v>0</v>
      </c>
      <c r="N288" s="126">
        <v>100</v>
      </c>
      <c r="O288" s="65" t="s">
        <v>562</v>
      </c>
      <c r="P288" s="88" t="s">
        <v>497</v>
      </c>
      <c r="Q288" s="108" t="s">
        <v>580</v>
      </c>
      <c r="R288" s="4"/>
    </row>
    <row r="289" spans="2:18" ht="64.5" x14ac:dyDescent="0.25">
      <c r="B289" s="65"/>
      <c r="C289" s="107" t="s">
        <v>585</v>
      </c>
      <c r="D289" s="134">
        <f t="shared" ref="D289:D294" si="46">E289+F289</f>
        <v>19.2</v>
      </c>
      <c r="E289" s="159">
        <v>19.2</v>
      </c>
      <c r="F289" s="159"/>
      <c r="G289" s="134">
        <f t="shared" ref="G289:G294" si="47">H289+I289</f>
        <v>95.521000000000001</v>
      </c>
      <c r="H289" s="159">
        <v>95.521000000000001</v>
      </c>
      <c r="I289" s="159"/>
      <c r="J289" s="134">
        <f t="shared" ref="J289:J294" si="48">K289+L289</f>
        <v>0</v>
      </c>
      <c r="K289" s="159"/>
      <c r="L289" s="159"/>
      <c r="M289" s="5">
        <f t="shared" si="34"/>
        <v>0</v>
      </c>
      <c r="N289" s="126">
        <v>30</v>
      </c>
      <c r="O289" s="65" t="s">
        <v>581</v>
      </c>
      <c r="P289" s="88" t="s">
        <v>498</v>
      </c>
      <c r="Q289" s="108" t="s">
        <v>572</v>
      </c>
      <c r="R289" s="4"/>
    </row>
    <row r="290" spans="2:18" ht="54" x14ac:dyDescent="0.25">
      <c r="B290" s="65"/>
      <c r="C290" s="107" t="s">
        <v>582</v>
      </c>
      <c r="D290" s="134">
        <f t="shared" si="46"/>
        <v>9.25</v>
      </c>
      <c r="E290" s="159">
        <v>9.25</v>
      </c>
      <c r="F290" s="159"/>
      <c r="G290" s="134">
        <f t="shared" si="47"/>
        <v>46.15334</v>
      </c>
      <c r="H290" s="159">
        <v>46.15334</v>
      </c>
      <c r="I290" s="159"/>
      <c r="J290" s="134">
        <f t="shared" si="48"/>
        <v>0</v>
      </c>
      <c r="K290" s="159"/>
      <c r="L290" s="159"/>
      <c r="M290" s="5">
        <f t="shared" si="34"/>
        <v>0</v>
      </c>
      <c r="N290" s="126">
        <v>30</v>
      </c>
      <c r="O290" s="65" t="s">
        <v>584</v>
      </c>
      <c r="P290" s="88">
        <v>75</v>
      </c>
      <c r="Q290" s="107" t="s">
        <v>583</v>
      </c>
      <c r="R290" s="4"/>
    </row>
    <row r="291" spans="2:18" ht="57" customHeight="1" x14ac:dyDescent="0.25">
      <c r="B291" s="65"/>
      <c r="C291" s="107" t="s">
        <v>586</v>
      </c>
      <c r="D291" s="134">
        <f t="shared" si="46"/>
        <v>10.462999999999999</v>
      </c>
      <c r="E291" s="159">
        <v>10.462999999999999</v>
      </c>
      <c r="F291" s="159"/>
      <c r="G291" s="134">
        <f t="shared" si="47"/>
        <v>52.312370000000001</v>
      </c>
      <c r="H291" s="159">
        <v>52.312370000000001</v>
      </c>
      <c r="I291" s="159"/>
      <c r="J291" s="134">
        <f t="shared" si="48"/>
        <v>0</v>
      </c>
      <c r="K291" s="159"/>
      <c r="L291" s="159"/>
      <c r="M291" s="5">
        <f t="shared" si="34"/>
        <v>0</v>
      </c>
      <c r="N291" s="126">
        <v>100</v>
      </c>
      <c r="O291" s="65" t="s">
        <v>551</v>
      </c>
      <c r="P291" s="88">
        <v>81</v>
      </c>
      <c r="Q291" s="21" t="s">
        <v>580</v>
      </c>
      <c r="R291" s="4"/>
    </row>
    <row r="292" spans="2:18" ht="75" x14ac:dyDescent="0.25">
      <c r="B292" s="65"/>
      <c r="C292" s="107" t="s">
        <v>589</v>
      </c>
      <c r="D292" s="134">
        <f t="shared" si="46"/>
        <v>10.558</v>
      </c>
      <c r="E292" s="159">
        <v>10.558</v>
      </c>
      <c r="F292" s="159"/>
      <c r="G292" s="134">
        <f t="shared" ref="G292:G293" si="49">H292+I292</f>
        <v>52.789000000000001</v>
      </c>
      <c r="H292" s="159">
        <v>52.789000000000001</v>
      </c>
      <c r="I292" s="159"/>
      <c r="J292" s="134">
        <f t="shared" ref="J292:J293" si="50">K292+L292</f>
        <v>0</v>
      </c>
      <c r="K292" s="159"/>
      <c r="L292" s="159"/>
      <c r="M292" s="5">
        <f t="shared" si="34"/>
        <v>0</v>
      </c>
      <c r="N292" s="126">
        <v>0</v>
      </c>
      <c r="O292" s="65" t="s">
        <v>588</v>
      </c>
      <c r="P292" s="88">
        <v>84</v>
      </c>
      <c r="Q292" s="108" t="s">
        <v>587</v>
      </c>
      <c r="R292" s="4"/>
    </row>
    <row r="293" spans="2:18" ht="56.25" x14ac:dyDescent="0.25">
      <c r="B293" s="65"/>
      <c r="C293" s="95" t="s">
        <v>556</v>
      </c>
      <c r="D293" s="134">
        <f t="shared" si="46"/>
        <v>10</v>
      </c>
      <c r="E293" s="159">
        <v>10</v>
      </c>
      <c r="F293" s="159"/>
      <c r="G293" s="134">
        <f t="shared" si="49"/>
        <v>34</v>
      </c>
      <c r="H293" s="159">
        <v>34</v>
      </c>
      <c r="I293" s="159"/>
      <c r="J293" s="134">
        <f t="shared" si="50"/>
        <v>0</v>
      </c>
      <c r="K293" s="159"/>
      <c r="L293" s="159"/>
      <c r="M293" s="5">
        <f t="shared" si="34"/>
        <v>0</v>
      </c>
      <c r="N293" s="126"/>
      <c r="O293" s="6" t="s">
        <v>554</v>
      </c>
      <c r="P293" s="32" t="s">
        <v>478</v>
      </c>
      <c r="Q293" s="108" t="s">
        <v>555</v>
      </c>
      <c r="R293" s="4"/>
    </row>
    <row r="294" spans="2:18" ht="56.25" x14ac:dyDescent="0.25">
      <c r="B294" s="65"/>
      <c r="C294" s="100" t="s">
        <v>590</v>
      </c>
      <c r="D294" s="134">
        <f t="shared" si="46"/>
        <v>16.100000000000001</v>
      </c>
      <c r="E294" s="159">
        <v>16.100000000000001</v>
      </c>
      <c r="F294" s="159"/>
      <c r="G294" s="134">
        <f t="shared" si="47"/>
        <v>80.234099999999998</v>
      </c>
      <c r="H294" s="159">
        <v>80.234099999999998</v>
      </c>
      <c r="I294" s="159"/>
      <c r="J294" s="134">
        <f t="shared" si="48"/>
        <v>0</v>
      </c>
      <c r="K294" s="159"/>
      <c r="L294" s="159"/>
      <c r="M294" s="5">
        <f t="shared" si="34"/>
        <v>0</v>
      </c>
      <c r="N294" s="126">
        <v>30</v>
      </c>
      <c r="O294" s="65" t="s">
        <v>562</v>
      </c>
      <c r="P294" s="88" t="s">
        <v>499</v>
      </c>
      <c r="Q294" s="111" t="s">
        <v>591</v>
      </c>
      <c r="R294" s="4"/>
    </row>
    <row r="295" spans="2:18" x14ac:dyDescent="0.25">
      <c r="B295" s="42"/>
      <c r="C295" s="35" t="s">
        <v>19</v>
      </c>
      <c r="D295" s="134">
        <f t="shared" si="43"/>
        <v>431.99565000000001</v>
      </c>
      <c r="E295" s="134">
        <f>SUM(E268:E294)</f>
        <v>431.995</v>
      </c>
      <c r="F295" s="134">
        <f>SUM(F268:F288)</f>
        <v>6.4999999999999997E-4</v>
      </c>
      <c r="G295" s="134">
        <f t="shared" si="44"/>
        <v>938.05096000000003</v>
      </c>
      <c r="H295" s="134">
        <f>SUM(H268:H288)</f>
        <v>851.06546000000003</v>
      </c>
      <c r="I295" s="134">
        <f>SUM(I268:I288)</f>
        <v>86.985500000000002</v>
      </c>
      <c r="J295" s="134">
        <f t="shared" si="45"/>
        <v>251.22595999999999</v>
      </c>
      <c r="K295" s="134">
        <f>SUM(K268:K288)</f>
        <v>251.22595999999999</v>
      </c>
      <c r="L295" s="134">
        <f>SUM(L268:L288)</f>
        <v>0</v>
      </c>
      <c r="M295" s="5">
        <f t="shared" si="34"/>
        <v>58.154742993361154</v>
      </c>
      <c r="N295" s="126"/>
      <c r="O295" s="6"/>
      <c r="P295" s="88"/>
      <c r="Q295" s="7"/>
      <c r="R295" s="8"/>
    </row>
    <row r="296" spans="2:18" x14ac:dyDescent="0.25">
      <c r="B296" s="42"/>
      <c r="C296" s="35"/>
      <c r="D296" s="134"/>
      <c r="E296" s="134"/>
      <c r="F296" s="134"/>
      <c r="G296" s="134"/>
      <c r="H296" s="134"/>
      <c r="I296" s="134"/>
      <c r="J296" s="134"/>
      <c r="K296" s="134"/>
      <c r="L296" s="134"/>
      <c r="M296" s="5"/>
      <c r="N296" s="126"/>
      <c r="O296" s="6"/>
      <c r="P296" s="88"/>
      <c r="Q296" s="7"/>
      <c r="R296" s="8"/>
    </row>
    <row r="297" spans="2:18" ht="45" x14ac:dyDescent="0.25">
      <c r="B297" s="42" t="s">
        <v>438</v>
      </c>
      <c r="C297" s="35" t="s">
        <v>437</v>
      </c>
      <c r="D297" s="134"/>
      <c r="E297" s="134"/>
      <c r="F297" s="134"/>
      <c r="G297" s="134"/>
      <c r="H297" s="134"/>
      <c r="I297" s="134"/>
      <c r="J297" s="134"/>
      <c r="K297" s="134"/>
      <c r="L297" s="134"/>
      <c r="M297" s="5"/>
      <c r="N297" s="126"/>
      <c r="O297" s="6"/>
      <c r="P297" s="88"/>
      <c r="Q297" s="7"/>
      <c r="R297" s="8"/>
    </row>
    <row r="298" spans="2:18" ht="45" x14ac:dyDescent="0.25">
      <c r="B298" s="42"/>
      <c r="C298" s="81" t="s">
        <v>439</v>
      </c>
      <c r="D298" s="134">
        <f>E298+F298</f>
        <v>19.25938</v>
      </c>
      <c r="E298" s="134">
        <v>19.25938</v>
      </c>
      <c r="F298" s="134"/>
      <c r="G298" s="134">
        <f>H298+I298</f>
        <v>19.25938</v>
      </c>
      <c r="H298" s="134">
        <v>19.25938</v>
      </c>
      <c r="I298" s="134"/>
      <c r="J298" s="134">
        <f>K298+L298</f>
        <v>17.433799999999998</v>
      </c>
      <c r="K298" s="134">
        <f>5.70222+7.3423+0.53928+3.85</f>
        <v>17.433799999999998</v>
      </c>
      <c r="L298" s="134"/>
      <c r="M298" s="5">
        <f t="shared" si="34"/>
        <v>90.52108634857403</v>
      </c>
      <c r="N298" s="126">
        <v>100</v>
      </c>
      <c r="O298" s="6" t="s">
        <v>621</v>
      </c>
      <c r="P298" s="91" t="s">
        <v>441</v>
      </c>
      <c r="Q298" s="81" t="s">
        <v>440</v>
      </c>
      <c r="R298" s="8"/>
    </row>
    <row r="299" spans="2:18" ht="64.5" x14ac:dyDescent="0.25">
      <c r="B299" s="42"/>
      <c r="C299" s="107" t="s">
        <v>592</v>
      </c>
      <c r="D299" s="134">
        <f t="shared" ref="D299:D301" si="51">E299+F299</f>
        <v>34</v>
      </c>
      <c r="E299" s="134">
        <v>34</v>
      </c>
      <c r="F299" s="134"/>
      <c r="G299" s="134">
        <f t="shared" ref="G299:G301" si="52">H299+I299</f>
        <v>165.24388999999999</v>
      </c>
      <c r="H299" s="134">
        <v>165.24388999999999</v>
      </c>
      <c r="I299" s="134"/>
      <c r="J299" s="134">
        <f t="shared" ref="J299:J301" si="53">K299+L299</f>
        <v>0</v>
      </c>
      <c r="K299" s="134"/>
      <c r="L299" s="134"/>
      <c r="M299" s="5">
        <f t="shared" si="34"/>
        <v>0</v>
      </c>
      <c r="N299" s="126">
        <v>15</v>
      </c>
      <c r="O299" s="6" t="s">
        <v>593</v>
      </c>
      <c r="P299" s="91" t="s">
        <v>500</v>
      </c>
      <c r="Q299" s="108" t="s">
        <v>594</v>
      </c>
      <c r="R299" s="8"/>
    </row>
    <row r="300" spans="2:18" x14ac:dyDescent="0.25">
      <c r="B300" s="42"/>
      <c r="C300" s="107"/>
      <c r="D300" s="134"/>
      <c r="E300" s="134">
        <v>6.2E-4</v>
      </c>
      <c r="F300" s="134"/>
      <c r="G300" s="134"/>
      <c r="H300" s="134"/>
      <c r="I300" s="134"/>
      <c r="J300" s="134"/>
      <c r="K300" s="134"/>
      <c r="L300" s="134"/>
      <c r="M300" s="5"/>
      <c r="N300" s="126"/>
      <c r="O300" s="6"/>
      <c r="P300" s="91"/>
      <c r="Q300" s="108"/>
      <c r="R300" s="8"/>
    </row>
    <row r="301" spans="2:18" ht="63.75" hidden="1" x14ac:dyDescent="0.25">
      <c r="B301" s="42"/>
      <c r="C301" s="107" t="s">
        <v>597</v>
      </c>
      <c r="D301" s="134">
        <f t="shared" si="51"/>
        <v>0</v>
      </c>
      <c r="E301" s="134"/>
      <c r="F301" s="134"/>
      <c r="G301" s="134">
        <f t="shared" si="52"/>
        <v>110.395</v>
      </c>
      <c r="H301" s="134">
        <v>110.395</v>
      </c>
      <c r="I301" s="134"/>
      <c r="J301" s="134">
        <f t="shared" si="53"/>
        <v>0</v>
      </c>
      <c r="K301" s="134"/>
      <c r="L301" s="134"/>
      <c r="M301" s="5" t="e">
        <f t="shared" si="34"/>
        <v>#DIV/0!</v>
      </c>
      <c r="N301" s="126"/>
      <c r="O301" s="6" t="s">
        <v>596</v>
      </c>
      <c r="P301" s="91" t="s">
        <v>501</v>
      </c>
      <c r="Q301" s="6" t="s">
        <v>595</v>
      </c>
      <c r="R301" s="8"/>
    </row>
    <row r="302" spans="2:18" x14ac:dyDescent="0.25">
      <c r="B302" s="42"/>
      <c r="C302" s="35" t="s">
        <v>19</v>
      </c>
      <c r="D302" s="134">
        <f>E302+F302</f>
        <v>53.26</v>
      </c>
      <c r="E302" s="134">
        <f>SUM(E298:E301)</f>
        <v>53.26</v>
      </c>
      <c r="F302" s="134">
        <f t="shared" ref="F302:L302" si="54">SUM(F298:F301)</f>
        <v>0</v>
      </c>
      <c r="G302" s="134">
        <f t="shared" si="54"/>
        <v>294.89826999999997</v>
      </c>
      <c r="H302" s="134">
        <f t="shared" si="54"/>
        <v>294.89826999999997</v>
      </c>
      <c r="I302" s="134">
        <f t="shared" si="54"/>
        <v>0</v>
      </c>
      <c r="J302" s="134">
        <f t="shared" si="54"/>
        <v>17.433799999999998</v>
      </c>
      <c r="K302" s="134">
        <f t="shared" si="54"/>
        <v>17.433799999999998</v>
      </c>
      <c r="L302" s="134">
        <f t="shared" si="54"/>
        <v>0</v>
      </c>
      <c r="M302" s="5">
        <f t="shared" si="34"/>
        <v>32.733383402177992</v>
      </c>
      <c r="N302" s="126"/>
      <c r="O302" s="6"/>
      <c r="P302" s="76"/>
      <c r="Q302" s="7"/>
      <c r="R302" s="8"/>
    </row>
    <row r="303" spans="2:18" x14ac:dyDescent="0.25">
      <c r="B303" s="42"/>
      <c r="C303" s="35"/>
      <c r="D303" s="134"/>
      <c r="E303" s="134"/>
      <c r="F303" s="134"/>
      <c r="G303" s="134"/>
      <c r="H303" s="134"/>
      <c r="I303" s="134"/>
      <c r="J303" s="134"/>
      <c r="K303" s="134"/>
      <c r="L303" s="134"/>
      <c r="M303" s="5"/>
      <c r="N303" s="126"/>
      <c r="O303" s="6"/>
      <c r="P303" s="76"/>
      <c r="Q303" s="7"/>
      <c r="R303" s="8"/>
    </row>
    <row r="304" spans="2:18" ht="78.75" x14ac:dyDescent="0.25">
      <c r="B304" s="42" t="s">
        <v>381</v>
      </c>
      <c r="C304" s="35" t="s">
        <v>382</v>
      </c>
      <c r="D304" s="134"/>
      <c r="E304" s="133"/>
      <c r="F304" s="133"/>
      <c r="G304" s="134"/>
      <c r="H304" s="134"/>
      <c r="I304" s="135"/>
      <c r="J304" s="134"/>
      <c r="K304" s="134"/>
      <c r="L304" s="134"/>
      <c r="M304" s="5"/>
      <c r="N304" s="126"/>
      <c r="O304" s="3"/>
      <c r="P304" s="79"/>
      <c r="Q304" s="3"/>
      <c r="R304" s="4"/>
    </row>
    <row r="305" spans="2:18" ht="22.5" x14ac:dyDescent="0.25">
      <c r="B305" s="42"/>
      <c r="C305" s="16" t="s">
        <v>383</v>
      </c>
      <c r="D305" s="134">
        <f t="shared" si="43"/>
        <v>3</v>
      </c>
      <c r="E305" s="137">
        <v>3</v>
      </c>
      <c r="F305" s="135"/>
      <c r="G305" s="134">
        <f t="shared" si="44"/>
        <v>6</v>
      </c>
      <c r="H305" s="137">
        <v>6</v>
      </c>
      <c r="I305" s="134"/>
      <c r="J305" s="134">
        <f t="shared" si="45"/>
        <v>2.899999999999999</v>
      </c>
      <c r="K305" s="137">
        <f>0.392+0.01+0.098+1.4+0.392+0.01+0.098+0.392+0.01+0.098</f>
        <v>2.899999999999999</v>
      </c>
      <c r="L305" s="134"/>
      <c r="M305" s="5">
        <f t="shared" ref="M305:M308" si="55">J305/D305%</f>
        <v>96.666666666666643</v>
      </c>
      <c r="N305" s="126"/>
      <c r="O305" s="3"/>
      <c r="P305" s="79"/>
      <c r="Q305" s="7"/>
      <c r="R305" s="4"/>
    </row>
    <row r="306" spans="2:18" ht="45" x14ac:dyDescent="0.25">
      <c r="B306" s="42"/>
      <c r="C306" s="26" t="s">
        <v>145</v>
      </c>
      <c r="D306" s="134">
        <f t="shared" si="43"/>
        <v>5</v>
      </c>
      <c r="E306" s="137">
        <v>5</v>
      </c>
      <c r="F306" s="135"/>
      <c r="G306" s="134">
        <f t="shared" si="44"/>
        <v>10</v>
      </c>
      <c r="H306" s="137">
        <v>10</v>
      </c>
      <c r="I306" s="134"/>
      <c r="J306" s="134">
        <f t="shared" si="45"/>
        <v>0</v>
      </c>
      <c r="K306" s="137"/>
      <c r="L306" s="134"/>
      <c r="M306" s="5">
        <f t="shared" si="55"/>
        <v>0</v>
      </c>
      <c r="N306" s="126"/>
      <c r="O306" s="3" t="s">
        <v>146</v>
      </c>
      <c r="P306" s="79" t="s">
        <v>147</v>
      </c>
      <c r="Q306" s="104" t="s">
        <v>325</v>
      </c>
      <c r="R306" s="4"/>
    </row>
    <row r="307" spans="2:18" ht="22.5" x14ac:dyDescent="0.25">
      <c r="B307" s="42"/>
      <c r="C307" s="26" t="s">
        <v>384</v>
      </c>
      <c r="D307" s="134">
        <f t="shared" si="43"/>
        <v>1.23E-3</v>
      </c>
      <c r="E307" s="137"/>
      <c r="F307" s="135">
        <v>1.23E-3</v>
      </c>
      <c r="G307" s="134">
        <f t="shared" si="44"/>
        <v>0</v>
      </c>
      <c r="H307" s="137"/>
      <c r="I307" s="134"/>
      <c r="J307" s="134">
        <f t="shared" si="45"/>
        <v>0</v>
      </c>
      <c r="K307" s="137"/>
      <c r="L307" s="134"/>
      <c r="M307" s="5">
        <f t="shared" si="55"/>
        <v>0</v>
      </c>
      <c r="N307" s="126"/>
      <c r="O307" s="3"/>
      <c r="P307" s="79"/>
      <c r="Q307" s="21"/>
      <c r="R307" s="4"/>
    </row>
    <row r="308" spans="2:18" x14ac:dyDescent="0.25">
      <c r="B308" s="6"/>
      <c r="C308" s="35" t="s">
        <v>19</v>
      </c>
      <c r="D308" s="134">
        <f t="shared" si="43"/>
        <v>8.0012299999999996</v>
      </c>
      <c r="E308" s="134">
        <f>SUM(E305:E307)</f>
        <v>8</v>
      </c>
      <c r="F308" s="134">
        <f>SUM(F305:F307)</f>
        <v>1.23E-3</v>
      </c>
      <c r="G308" s="134">
        <f t="shared" si="44"/>
        <v>16</v>
      </c>
      <c r="H308" s="134">
        <f>SUM(H305:H307)</f>
        <v>16</v>
      </c>
      <c r="I308" s="134">
        <f>SUM(I305:I307)</f>
        <v>0</v>
      </c>
      <c r="J308" s="134">
        <f t="shared" si="45"/>
        <v>2.899999999999999</v>
      </c>
      <c r="K308" s="134">
        <f>SUM(K305:K307)</f>
        <v>2.899999999999999</v>
      </c>
      <c r="L308" s="134">
        <f>SUM(L305:L307)</f>
        <v>0</v>
      </c>
      <c r="M308" s="5">
        <f t="shared" si="55"/>
        <v>36.244427419284278</v>
      </c>
      <c r="N308" s="126"/>
      <c r="O308" s="6"/>
      <c r="P308" s="76"/>
      <c r="Q308" s="7"/>
      <c r="R308" s="4"/>
    </row>
    <row r="311" spans="2:18" x14ac:dyDescent="0.25">
      <c r="B311" s="85"/>
      <c r="C311" s="187"/>
      <c r="D311" s="187"/>
      <c r="E311" s="187"/>
      <c r="F311" s="187"/>
      <c r="G311" s="187"/>
      <c r="H311" s="187"/>
      <c r="I311" s="187"/>
      <c r="J311" s="187"/>
      <c r="K311" s="187"/>
      <c r="L311" s="187"/>
      <c r="M311" s="187"/>
      <c r="N311" s="187"/>
      <c r="O311" s="187"/>
      <c r="P311" s="187"/>
      <c r="Q311" s="85"/>
      <c r="R311" s="85"/>
    </row>
    <row r="312" spans="2:18" x14ac:dyDescent="0.25">
      <c r="B312" s="85"/>
      <c r="C312" s="187"/>
      <c r="D312" s="187"/>
      <c r="E312" s="187"/>
      <c r="F312" s="187"/>
      <c r="G312" s="187"/>
      <c r="H312" s="187"/>
      <c r="I312" s="187"/>
      <c r="J312" s="187"/>
      <c r="K312" s="187"/>
      <c r="L312" s="187"/>
      <c r="M312" s="187"/>
      <c r="N312" s="187"/>
      <c r="O312" s="187"/>
      <c r="P312" s="187"/>
      <c r="Q312" s="85"/>
      <c r="R312" s="85"/>
    </row>
  </sheetData>
  <mergeCells count="80">
    <mergeCell ref="H1:M3"/>
    <mergeCell ref="O136:O139"/>
    <mergeCell ref="P136:P139"/>
    <mergeCell ref="O140:O144"/>
    <mergeCell ref="P140:P144"/>
    <mergeCell ref="P81:P82"/>
    <mergeCell ref="O35:O36"/>
    <mergeCell ref="P35:P36"/>
    <mergeCell ref="O29:O30"/>
    <mergeCell ref="P29:P30"/>
    <mergeCell ref="O90:O91"/>
    <mergeCell ref="P90:P91"/>
    <mergeCell ref="O37:O38"/>
    <mergeCell ref="P37:P38"/>
    <mergeCell ref="O45:O48"/>
    <mergeCell ref="C5:J5"/>
    <mergeCell ref="C311:P312"/>
    <mergeCell ref="Q270:Q271"/>
    <mergeCell ref="Q274:Q275"/>
    <mergeCell ref="O148:O149"/>
    <mergeCell ref="P148:P149"/>
    <mergeCell ref="O150:O151"/>
    <mergeCell ref="P150:P151"/>
    <mergeCell ref="P274:P275"/>
    <mergeCell ref="O268:O269"/>
    <mergeCell ref="P268:P269"/>
    <mergeCell ref="O270:O271"/>
    <mergeCell ref="P270:P271"/>
    <mergeCell ref="O190:O191"/>
    <mergeCell ref="P190:P191"/>
    <mergeCell ref="O244:O245"/>
    <mergeCell ref="P244:P245"/>
    <mergeCell ref="O25:O26"/>
    <mergeCell ref="P25:P26"/>
    <mergeCell ref="O124:O125"/>
    <mergeCell ref="P124:P125"/>
    <mergeCell ref="O122:O123"/>
    <mergeCell ref="P122:P123"/>
    <mergeCell ref="P45:P48"/>
    <mergeCell ref="O40:O44"/>
    <mergeCell ref="P40:P44"/>
    <mergeCell ref="O81:O82"/>
    <mergeCell ref="Q25:Q26"/>
    <mergeCell ref="Q124:Q125"/>
    <mergeCell ref="Q127:Q128"/>
    <mergeCell ref="Q130:Q132"/>
    <mergeCell ref="Q133:Q134"/>
    <mergeCell ref="Q122:Q123"/>
    <mergeCell ref="Q81:Q82"/>
    <mergeCell ref="Q37:Q38"/>
    <mergeCell ref="Q45:Q48"/>
    <mergeCell ref="Q40:Q44"/>
    <mergeCell ref="R268:R269"/>
    <mergeCell ref="Q268:Q269"/>
    <mergeCell ref="Q136:Q139"/>
    <mergeCell ref="Q140:Q144"/>
    <mergeCell ref="Q146:Q147"/>
    <mergeCell ref="Q150:Q151"/>
    <mergeCell ref="R244:R245"/>
    <mergeCell ref="O127:O128"/>
    <mergeCell ref="O146:O147"/>
    <mergeCell ref="P146:P147"/>
    <mergeCell ref="P130:P132"/>
    <mergeCell ref="O133:O134"/>
    <mergeCell ref="O130:O131"/>
    <mergeCell ref="P127:P128"/>
    <mergeCell ref="P133:P134"/>
    <mergeCell ref="M29:M30"/>
    <mergeCell ref="N29:N30"/>
    <mergeCell ref="R29:R30"/>
    <mergeCell ref="M35:M36"/>
    <mergeCell ref="N35:N36"/>
    <mergeCell ref="M90:M91"/>
    <mergeCell ref="N90:N91"/>
    <mergeCell ref="M190:M191"/>
    <mergeCell ref="N190:N191"/>
    <mergeCell ref="M268:M269"/>
    <mergeCell ref="N268:N269"/>
    <mergeCell ref="M148:M149"/>
    <mergeCell ref="N148:N149"/>
  </mergeCells>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 Ustiashvili</dc:creator>
  <cp:lastModifiedBy>Marina Tediashvili</cp:lastModifiedBy>
  <cp:lastPrinted>2022-07-12T11:11:06Z</cp:lastPrinted>
  <dcterms:created xsi:type="dcterms:W3CDTF">2022-05-02T11:18:19Z</dcterms:created>
  <dcterms:modified xsi:type="dcterms:W3CDTF">2022-08-30T07:09:20Z</dcterms:modified>
</cp:coreProperties>
</file>