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2 weli\2022 შესრულებები\3კვარტ.შესრ -\საკრებულოს 3 კვარტ.შესრ\sakr.gank.3 kvart\"/>
    </mc:Choice>
  </mc:AlternateContent>
  <bookViews>
    <workbookView xWindow="0" yWindow="0" windowWidth="20490" windowHeight="6555"/>
  </bookViews>
  <sheets>
    <sheet name="Sheet1"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81" i="1" l="1"/>
  <c r="E206" i="1" l="1"/>
  <c r="E352" i="1"/>
  <c r="E170" i="1"/>
  <c r="D169" i="1"/>
  <c r="D351" i="1"/>
  <c r="M351" i="1" s="1"/>
  <c r="D324" i="1"/>
  <c r="M324" i="1" s="1"/>
  <c r="D242" i="1" l="1"/>
  <c r="M242" i="1" s="1"/>
  <c r="D127" i="1"/>
  <c r="M127" i="1" s="1"/>
  <c r="D87" i="1"/>
  <c r="M87" i="1" s="1"/>
  <c r="D86" i="1"/>
  <c r="M86" i="1" s="1"/>
  <c r="D81" i="1"/>
  <c r="G81" i="1"/>
  <c r="J81" i="1"/>
  <c r="M81" i="1" l="1"/>
  <c r="F34" i="1"/>
  <c r="F39" i="1"/>
  <c r="F352" i="1"/>
  <c r="F282" i="1"/>
  <c r="F283" i="1"/>
  <c r="F284" i="1"/>
  <c r="E284" i="1"/>
  <c r="F36" i="1"/>
  <c r="F35" i="1"/>
  <c r="F33" i="1"/>
  <c r="F243" i="1"/>
  <c r="E243" i="1"/>
  <c r="F232" i="1"/>
  <c r="E149" i="1" l="1"/>
  <c r="D148" i="1"/>
  <c r="M148" i="1" s="1"/>
  <c r="E406" i="1" l="1"/>
  <c r="D405" i="1"/>
  <c r="M405" i="1" s="1"/>
  <c r="E380" i="1"/>
  <c r="H384" i="1"/>
  <c r="I384" i="1"/>
  <c r="D340" i="1" l="1"/>
  <c r="E338" i="1"/>
  <c r="K311" i="1"/>
  <c r="J311" i="1"/>
  <c r="G311" i="1"/>
  <c r="D311" i="1"/>
  <c r="K310" i="1"/>
  <c r="J310" i="1" s="1"/>
  <c r="G310" i="1"/>
  <c r="D310" i="1"/>
  <c r="K309" i="1"/>
  <c r="J309" i="1" s="1"/>
  <c r="G309" i="1"/>
  <c r="D309" i="1"/>
  <c r="K308" i="1"/>
  <c r="J308" i="1" s="1"/>
  <c r="G308" i="1"/>
  <c r="D308" i="1"/>
  <c r="J307" i="1"/>
  <c r="G307" i="1"/>
  <c r="D307" i="1"/>
  <c r="H319" i="1"/>
  <c r="H341" i="1" s="1"/>
  <c r="I319" i="1"/>
  <c r="I341" i="1" s="1"/>
  <c r="M311" i="1" l="1"/>
  <c r="M308" i="1"/>
  <c r="M310" i="1"/>
  <c r="M309" i="1"/>
  <c r="M307" i="1"/>
  <c r="E301" i="1"/>
  <c r="D300" i="1"/>
  <c r="E293" i="1"/>
  <c r="D292" i="1"/>
  <c r="I263" i="1"/>
  <c r="J276" i="1"/>
  <c r="G276" i="1"/>
  <c r="J279" i="1"/>
  <c r="G279" i="1"/>
  <c r="J278" i="1"/>
  <c r="M278" i="1" s="1"/>
  <c r="G278" i="1"/>
  <c r="D279" i="1"/>
  <c r="D278" i="1"/>
  <c r="D253" i="1"/>
  <c r="M253" i="1" s="1"/>
  <c r="M279" i="1" l="1"/>
  <c r="I254" i="1"/>
  <c r="H254" i="1"/>
  <c r="F254" i="1"/>
  <c r="E254" i="1"/>
  <c r="L254" i="1"/>
  <c r="K254" i="1"/>
  <c r="J168" i="1" l="1"/>
  <c r="G168" i="1"/>
  <c r="E151" i="1"/>
  <c r="I36" i="1" l="1"/>
  <c r="E24" i="1"/>
  <c r="F24" i="1"/>
  <c r="H24" i="1"/>
  <c r="I24" i="1"/>
  <c r="L24" i="1"/>
  <c r="D23" i="1"/>
  <c r="D24" i="1" l="1"/>
  <c r="G24" i="1"/>
  <c r="I27" i="1" l="1"/>
  <c r="H27" i="1"/>
  <c r="F27" i="1"/>
  <c r="L14" i="1" l="1"/>
  <c r="K14" i="1"/>
  <c r="I14" i="1"/>
  <c r="H14" i="1"/>
  <c r="F14" i="1"/>
  <c r="E14" i="1"/>
  <c r="G12" i="1"/>
  <c r="J10" i="1"/>
  <c r="J11" i="1"/>
  <c r="J12" i="1"/>
  <c r="G10" i="1"/>
  <c r="G11" i="1"/>
  <c r="D14" i="1" l="1"/>
  <c r="J14" i="1"/>
  <c r="E397" i="1"/>
  <c r="E399" i="1" s="1"/>
  <c r="L314" i="1"/>
  <c r="L406" i="1"/>
  <c r="K406" i="1"/>
  <c r="I406" i="1"/>
  <c r="H406" i="1"/>
  <c r="F406" i="1"/>
  <c r="G404" i="1"/>
  <c r="J404" i="1"/>
  <c r="D404" i="1"/>
  <c r="K395" i="1"/>
  <c r="D386" i="1"/>
  <c r="G386" i="1"/>
  <c r="J386" i="1"/>
  <c r="D387" i="1"/>
  <c r="G387" i="1"/>
  <c r="J387" i="1"/>
  <c r="D388" i="1"/>
  <c r="G388" i="1"/>
  <c r="J388" i="1"/>
  <c r="D389" i="1"/>
  <c r="G389" i="1"/>
  <c r="J389" i="1"/>
  <c r="D390" i="1"/>
  <c r="G390" i="1"/>
  <c r="J390" i="1"/>
  <c r="D391" i="1"/>
  <c r="G391" i="1"/>
  <c r="J391" i="1"/>
  <c r="K377" i="1"/>
  <c r="I393" i="1"/>
  <c r="H393" i="1"/>
  <c r="F393" i="1"/>
  <c r="E393" i="1"/>
  <c r="K383" i="1"/>
  <c r="L383" i="1"/>
  <c r="L393" i="1" s="1"/>
  <c r="L349" i="1"/>
  <c r="K333" i="1"/>
  <c r="K319" i="1"/>
  <c r="L319" i="1"/>
  <c r="D337" i="1"/>
  <c r="G337" i="1"/>
  <c r="J337" i="1"/>
  <c r="D338" i="1"/>
  <c r="G338" i="1"/>
  <c r="J338" i="1"/>
  <c r="D339" i="1"/>
  <c r="G339" i="1"/>
  <c r="J339" i="1"/>
  <c r="L301" i="1"/>
  <c r="K301" i="1"/>
  <c r="I301" i="1"/>
  <c r="H301" i="1"/>
  <c r="F301" i="1"/>
  <c r="K290" i="1"/>
  <c r="K289" i="1"/>
  <c r="K265" i="1"/>
  <c r="L265" i="1"/>
  <c r="D276" i="1"/>
  <c r="M276" i="1" s="1"/>
  <c r="D282" i="1"/>
  <c r="G282" i="1"/>
  <c r="J282" i="1"/>
  <c r="D283" i="1"/>
  <c r="G283" i="1"/>
  <c r="J283" i="1"/>
  <c r="M283" i="1" s="1"/>
  <c r="D284" i="1"/>
  <c r="G284" i="1"/>
  <c r="J284" i="1"/>
  <c r="D280" i="1"/>
  <c r="G280" i="1"/>
  <c r="J280" i="1"/>
  <c r="D281" i="1"/>
  <c r="G281" i="1"/>
  <c r="J281" i="1"/>
  <c r="I285" i="1"/>
  <c r="H285" i="1"/>
  <c r="E285" i="1"/>
  <c r="M281" i="1" l="1"/>
  <c r="M282" i="1"/>
  <c r="M280" i="1"/>
  <c r="L341" i="1"/>
  <c r="M391" i="1"/>
  <c r="M404" i="1"/>
  <c r="M388" i="1"/>
  <c r="M390" i="1"/>
  <c r="M387" i="1"/>
  <c r="M386" i="1"/>
  <c r="M389" i="1"/>
  <c r="M339" i="1"/>
  <c r="M338" i="1"/>
  <c r="M337" i="1"/>
  <c r="M284" i="1"/>
  <c r="F263" i="1"/>
  <c r="F285" i="1" s="1"/>
  <c r="J264" i="1"/>
  <c r="K285" i="1"/>
  <c r="K246" i="1"/>
  <c r="K245" i="1"/>
  <c r="L243" i="1"/>
  <c r="I243" i="1"/>
  <c r="H243" i="1"/>
  <c r="K237" i="1"/>
  <c r="K243" i="1" s="1"/>
  <c r="E232" i="1"/>
  <c r="L219" i="1"/>
  <c r="I232" i="1"/>
  <c r="H232" i="1"/>
  <c r="L220" i="1"/>
  <c r="K221" i="1"/>
  <c r="J221" i="1" s="1"/>
  <c r="L222" i="1"/>
  <c r="L232" i="1" l="1"/>
  <c r="L170" i="1"/>
  <c r="K170" i="1"/>
  <c r="I170" i="1"/>
  <c r="H170" i="1"/>
  <c r="F170" i="1"/>
  <c r="D168" i="1"/>
  <c r="K152" i="1" l="1"/>
  <c r="K151" i="1"/>
  <c r="I149" i="1"/>
  <c r="H149" i="1"/>
  <c r="D145" i="1"/>
  <c r="G145" i="1"/>
  <c r="J145" i="1"/>
  <c r="M145" i="1" s="1"/>
  <c r="D146" i="1"/>
  <c r="G146" i="1"/>
  <c r="J146" i="1"/>
  <c r="D147" i="1"/>
  <c r="G147" i="1"/>
  <c r="J147" i="1"/>
  <c r="K140" i="1"/>
  <c r="L134" i="1"/>
  <c r="K114" i="1"/>
  <c r="K134" i="1"/>
  <c r="M146" i="1" l="1"/>
  <c r="M147" i="1"/>
  <c r="D143" i="1"/>
  <c r="G143" i="1"/>
  <c r="J143" i="1"/>
  <c r="D144" i="1"/>
  <c r="G144" i="1"/>
  <c r="J144" i="1"/>
  <c r="K98" i="1"/>
  <c r="K71" i="1"/>
  <c r="K70" i="1"/>
  <c r="K72" i="1"/>
  <c r="D82" i="1"/>
  <c r="G82" i="1"/>
  <c r="J82" i="1"/>
  <c r="D83" i="1"/>
  <c r="G83" i="1"/>
  <c r="J83" i="1"/>
  <c r="D84" i="1"/>
  <c r="G84" i="1"/>
  <c r="J84" i="1"/>
  <c r="D85" i="1"/>
  <c r="G85" i="1"/>
  <c r="J85" i="1"/>
  <c r="K64" i="1"/>
  <c r="E57" i="1"/>
  <c r="D20" i="1"/>
  <c r="L57" i="1"/>
  <c r="L39" i="1"/>
  <c r="K39" i="1"/>
  <c r="J40" i="1"/>
  <c r="G40" i="1"/>
  <c r="D40" i="1"/>
  <c r="K57" i="1"/>
  <c r="K58" i="1"/>
  <c r="K47" i="1"/>
  <c r="K48" i="1"/>
  <c r="L48" i="1"/>
  <c r="K61" i="1"/>
  <c r="K36" i="1"/>
  <c r="K20" i="1"/>
  <c r="K24" i="1" s="1"/>
  <c r="J24" i="1" s="1"/>
  <c r="M24" i="1" s="1"/>
  <c r="M144" i="1" l="1"/>
  <c r="M40" i="1"/>
  <c r="M143" i="1"/>
  <c r="M83" i="1"/>
  <c r="M85" i="1"/>
  <c r="M82" i="1"/>
  <c r="M84" i="1"/>
  <c r="K397" i="1"/>
  <c r="K376" i="1"/>
  <c r="J383" i="1"/>
  <c r="J374" i="1"/>
  <c r="G374" i="1"/>
  <c r="D374" i="1"/>
  <c r="K370" i="1"/>
  <c r="D383" i="1"/>
  <c r="G383" i="1"/>
  <c r="D384" i="1"/>
  <c r="G384" i="1"/>
  <c r="J384" i="1"/>
  <c r="M383" i="1" s="1"/>
  <c r="D385" i="1"/>
  <c r="G385" i="1"/>
  <c r="J385" i="1"/>
  <c r="D392" i="1"/>
  <c r="G392" i="1"/>
  <c r="J392" i="1"/>
  <c r="J382" i="1"/>
  <c r="G382" i="1"/>
  <c r="D382" i="1"/>
  <c r="L348" i="1"/>
  <c r="M382" i="1" l="1"/>
  <c r="M392" i="1"/>
  <c r="M385" i="1"/>
  <c r="M374" i="1"/>
  <c r="K320" i="1"/>
  <c r="K335" i="1"/>
  <c r="J335" i="1" s="1"/>
  <c r="G335" i="1"/>
  <c r="G336" i="1"/>
  <c r="J336" i="1"/>
  <c r="D335" i="1"/>
  <c r="D336" i="1"/>
  <c r="J297" i="1"/>
  <c r="J298" i="1"/>
  <c r="J299" i="1"/>
  <c r="G297" i="1"/>
  <c r="G298" i="1"/>
  <c r="G299" i="1"/>
  <c r="D297" i="1"/>
  <c r="D298" i="1"/>
  <c r="D299" i="1"/>
  <c r="K288" i="1"/>
  <c r="J265" i="1"/>
  <c r="L263" i="1"/>
  <c r="D272" i="1"/>
  <c r="G272" i="1"/>
  <c r="J272" i="1"/>
  <c r="D273" i="1"/>
  <c r="G273" i="1"/>
  <c r="J273" i="1"/>
  <c r="D274" i="1"/>
  <c r="G274" i="1"/>
  <c r="J274" i="1"/>
  <c r="D275" i="1"/>
  <c r="G275" i="1"/>
  <c r="J275" i="1"/>
  <c r="D277" i="1"/>
  <c r="G277" i="1"/>
  <c r="J277" i="1"/>
  <c r="D265" i="1"/>
  <c r="G265" i="1"/>
  <c r="D266" i="1"/>
  <c r="G266" i="1"/>
  <c r="J266" i="1"/>
  <c r="D267" i="1"/>
  <c r="G267" i="1"/>
  <c r="J267" i="1"/>
  <c r="D268" i="1"/>
  <c r="G268" i="1"/>
  <c r="J268" i="1"/>
  <c r="D269" i="1"/>
  <c r="G269" i="1"/>
  <c r="J269" i="1"/>
  <c r="D270" i="1"/>
  <c r="G270" i="1"/>
  <c r="J270" i="1"/>
  <c r="D271" i="1"/>
  <c r="G271" i="1"/>
  <c r="J271" i="1"/>
  <c r="G263" i="1"/>
  <c r="G264" i="1"/>
  <c r="D263" i="1"/>
  <c r="D264" i="1"/>
  <c r="J252" i="1"/>
  <c r="M252" i="1" s="1"/>
  <c r="G252" i="1"/>
  <c r="D252" i="1"/>
  <c r="J240" i="1"/>
  <c r="J241" i="1"/>
  <c r="G240" i="1"/>
  <c r="G241" i="1"/>
  <c r="D241" i="1"/>
  <c r="M299" i="1" l="1"/>
  <c r="M298" i="1"/>
  <c r="M297" i="1"/>
  <c r="M241" i="1"/>
  <c r="M268" i="1"/>
  <c r="L285" i="1"/>
  <c r="J263" i="1"/>
  <c r="M263" i="1" s="1"/>
  <c r="M270" i="1"/>
  <c r="M277" i="1"/>
  <c r="M336" i="1"/>
  <c r="M335" i="1"/>
  <c r="M271" i="1"/>
  <c r="M273" i="1"/>
  <c r="M269" i="1"/>
  <c r="M267" i="1"/>
  <c r="M272" i="1"/>
  <c r="M275" i="1"/>
  <c r="M265" i="1"/>
  <c r="M274" i="1"/>
  <c r="M266" i="1"/>
  <c r="M264" i="1"/>
  <c r="K216" i="1"/>
  <c r="D222" i="1"/>
  <c r="G222" i="1"/>
  <c r="J222" i="1"/>
  <c r="D223" i="1"/>
  <c r="G223" i="1"/>
  <c r="J223" i="1"/>
  <c r="D224" i="1"/>
  <c r="G224" i="1"/>
  <c r="J224" i="1"/>
  <c r="D225" i="1"/>
  <c r="G225" i="1"/>
  <c r="J225" i="1"/>
  <c r="D226" i="1"/>
  <c r="G226" i="1"/>
  <c r="J226" i="1"/>
  <c r="D227" i="1"/>
  <c r="G227" i="1"/>
  <c r="J227" i="1"/>
  <c r="D228" i="1"/>
  <c r="G228" i="1"/>
  <c r="J228" i="1"/>
  <c r="D229" i="1"/>
  <c r="G229" i="1"/>
  <c r="J229" i="1"/>
  <c r="J220" i="1"/>
  <c r="G220" i="1"/>
  <c r="G221" i="1"/>
  <c r="D220" i="1"/>
  <c r="D221" i="1"/>
  <c r="D166" i="1"/>
  <c r="G166" i="1"/>
  <c r="J166" i="1"/>
  <c r="D167" i="1"/>
  <c r="G167" i="1"/>
  <c r="J167" i="1"/>
  <c r="J163" i="1"/>
  <c r="J164" i="1"/>
  <c r="J165" i="1"/>
  <c r="G163" i="1"/>
  <c r="G164" i="1"/>
  <c r="G165" i="1"/>
  <c r="D163" i="1"/>
  <c r="D164" i="1"/>
  <c r="D165" i="1"/>
  <c r="K138" i="1"/>
  <c r="J138" i="1" s="1"/>
  <c r="K131" i="1"/>
  <c r="K133" i="1"/>
  <c r="K132" i="1"/>
  <c r="K111" i="1"/>
  <c r="D137" i="1"/>
  <c r="G137" i="1"/>
  <c r="J137" i="1"/>
  <c r="D138" i="1"/>
  <c r="G138" i="1"/>
  <c r="D139" i="1"/>
  <c r="G139" i="1"/>
  <c r="J139" i="1"/>
  <c r="M139" i="1" s="1"/>
  <c r="D140" i="1"/>
  <c r="G140" i="1"/>
  <c r="J140" i="1"/>
  <c r="D141" i="1"/>
  <c r="G141" i="1"/>
  <c r="J141" i="1"/>
  <c r="K118" i="1"/>
  <c r="D135" i="1"/>
  <c r="G135" i="1"/>
  <c r="J135" i="1"/>
  <c r="D136" i="1"/>
  <c r="G136" i="1"/>
  <c r="J136" i="1"/>
  <c r="D142" i="1"/>
  <c r="G142" i="1"/>
  <c r="J142" i="1"/>
  <c r="M142" i="1" s="1"/>
  <c r="M140" i="1" l="1"/>
  <c r="M137" i="1"/>
  <c r="M135" i="1"/>
  <c r="M141" i="1"/>
  <c r="M138" i="1"/>
  <c r="M136" i="1"/>
  <c r="M228" i="1"/>
  <c r="M227" i="1"/>
  <c r="M224" i="1"/>
  <c r="M167" i="1"/>
  <c r="M226" i="1"/>
  <c r="M221" i="1"/>
  <c r="M220" i="1"/>
  <c r="M222" i="1"/>
  <c r="M229" i="1"/>
  <c r="M225" i="1"/>
  <c r="M166" i="1"/>
  <c r="M164" i="1"/>
  <c r="M163" i="1"/>
  <c r="M223" i="1"/>
  <c r="M165" i="1"/>
  <c r="J128" i="1"/>
  <c r="J129" i="1"/>
  <c r="J130" i="1"/>
  <c r="J131" i="1"/>
  <c r="J132" i="1"/>
  <c r="J133" i="1"/>
  <c r="J134" i="1"/>
  <c r="G128" i="1"/>
  <c r="G129" i="1"/>
  <c r="G130" i="1"/>
  <c r="G131" i="1"/>
  <c r="G132" i="1"/>
  <c r="G133" i="1"/>
  <c r="G134" i="1"/>
  <c r="D128" i="1"/>
  <c r="D129" i="1"/>
  <c r="D130" i="1"/>
  <c r="D131" i="1"/>
  <c r="D132" i="1"/>
  <c r="D133" i="1"/>
  <c r="D134" i="1"/>
  <c r="K120" i="1"/>
  <c r="K46" i="1"/>
  <c r="J60" i="1"/>
  <c r="G60" i="1"/>
  <c r="D60" i="1"/>
  <c r="K59" i="1"/>
  <c r="D78" i="1"/>
  <c r="G78" i="1"/>
  <c r="J78" i="1"/>
  <c r="D79" i="1"/>
  <c r="G79" i="1"/>
  <c r="J79" i="1"/>
  <c r="D80" i="1"/>
  <c r="G80" i="1"/>
  <c r="J80" i="1"/>
  <c r="K43" i="1"/>
  <c r="K41" i="1"/>
  <c r="M131" i="1" l="1"/>
  <c r="M134" i="1"/>
  <c r="M130" i="1"/>
  <c r="M133" i="1"/>
  <c r="M129" i="1"/>
  <c r="M132" i="1"/>
  <c r="M128" i="1"/>
  <c r="M80" i="1"/>
  <c r="M79" i="1"/>
  <c r="M78" i="1"/>
  <c r="D75" i="1"/>
  <c r="G75" i="1"/>
  <c r="J75" i="1"/>
  <c r="D76" i="1"/>
  <c r="G76" i="1"/>
  <c r="J76" i="1"/>
  <c r="D77" i="1"/>
  <c r="G77" i="1"/>
  <c r="J77" i="1"/>
  <c r="D66" i="1"/>
  <c r="J66" i="1"/>
  <c r="D67" i="1"/>
  <c r="J67" i="1"/>
  <c r="D68" i="1"/>
  <c r="J68" i="1"/>
  <c r="D69" i="1"/>
  <c r="J69" i="1"/>
  <c r="D70" i="1"/>
  <c r="G70" i="1"/>
  <c r="J70" i="1"/>
  <c r="D71" i="1"/>
  <c r="G71" i="1"/>
  <c r="J71" i="1"/>
  <c r="D72" i="1"/>
  <c r="G72" i="1"/>
  <c r="J72" i="1"/>
  <c r="D73" i="1"/>
  <c r="G73" i="1"/>
  <c r="J73" i="1"/>
  <c r="D74" i="1"/>
  <c r="G74" i="1"/>
  <c r="J74" i="1"/>
  <c r="K65" i="1"/>
  <c r="J65" i="1" s="1"/>
  <c r="G65" i="1"/>
  <c r="D65" i="1"/>
  <c r="K30" i="1"/>
  <c r="L30" i="1"/>
  <c r="J22" i="1"/>
  <c r="G22" i="1"/>
  <c r="D22" i="1"/>
  <c r="J21" i="1"/>
  <c r="G21" i="1"/>
  <c r="D21" i="1"/>
  <c r="M70" i="1" l="1"/>
  <c r="M74" i="1"/>
  <c r="M67" i="1"/>
  <c r="M72" i="1"/>
  <c r="M77" i="1"/>
  <c r="M75" i="1"/>
  <c r="M76" i="1"/>
  <c r="M68" i="1"/>
  <c r="M66" i="1"/>
  <c r="M73" i="1"/>
  <c r="M69" i="1"/>
  <c r="M65" i="1"/>
  <c r="M71" i="1"/>
  <c r="M21" i="1"/>
  <c r="M22" i="1"/>
  <c r="G259" i="1" l="1"/>
  <c r="G260" i="1"/>
  <c r="G261" i="1"/>
  <c r="G262" i="1"/>
  <c r="K328" i="1"/>
  <c r="D240" i="1" l="1"/>
  <c r="M240" i="1" s="1"/>
  <c r="J9" i="1" l="1"/>
  <c r="G9" i="1"/>
  <c r="G14" i="1" s="1"/>
  <c r="F125" i="1" l="1"/>
  <c r="D125" i="1" s="1"/>
  <c r="J126" i="1"/>
  <c r="G126" i="1"/>
  <c r="D126" i="1"/>
  <c r="J125" i="1"/>
  <c r="G125" i="1"/>
  <c r="J124" i="1"/>
  <c r="G124" i="1"/>
  <c r="D124" i="1"/>
  <c r="F110" i="1"/>
  <c r="J115" i="1"/>
  <c r="G115" i="1"/>
  <c r="D115" i="1"/>
  <c r="F149" i="1" l="1"/>
  <c r="M124" i="1"/>
  <c r="M126" i="1"/>
  <c r="M125" i="1"/>
  <c r="M115" i="1"/>
  <c r="J103" i="1"/>
  <c r="G103" i="1"/>
  <c r="D103" i="1"/>
  <c r="J102" i="1"/>
  <c r="G102" i="1"/>
  <c r="D102" i="1"/>
  <c r="M103" i="1" l="1"/>
  <c r="M102" i="1"/>
  <c r="I35" i="1" l="1"/>
  <c r="I89" i="1" s="1"/>
  <c r="M256" i="1" l="1"/>
  <c r="M257" i="1"/>
  <c r="M305" i="1"/>
  <c r="F319" i="1"/>
  <c r="E328" i="1"/>
  <c r="E341" i="1" s="1"/>
  <c r="F341" i="1" l="1"/>
  <c r="J217" i="1"/>
  <c r="J218" i="1"/>
  <c r="J219" i="1"/>
  <c r="G217" i="1"/>
  <c r="G218" i="1"/>
  <c r="G219" i="1"/>
  <c r="H57" i="1"/>
  <c r="H56" i="1" l="1"/>
  <c r="E56" i="1"/>
  <c r="H53" i="1"/>
  <c r="H89" i="1" l="1"/>
  <c r="F399" i="1"/>
  <c r="H399" i="1"/>
  <c r="I399" i="1"/>
  <c r="L399" i="1"/>
  <c r="G396" i="1"/>
  <c r="J396" i="1"/>
  <c r="G397" i="1"/>
  <c r="J397" i="1"/>
  <c r="D396" i="1"/>
  <c r="D397" i="1"/>
  <c r="K399" i="1"/>
  <c r="G379" i="1"/>
  <c r="J379" i="1"/>
  <c r="G380" i="1"/>
  <c r="J380" i="1"/>
  <c r="D379" i="1"/>
  <c r="D380" i="1"/>
  <c r="D376" i="1"/>
  <c r="G376" i="1"/>
  <c r="J376" i="1"/>
  <c r="D377" i="1"/>
  <c r="G377" i="1"/>
  <c r="J377" i="1"/>
  <c r="D378" i="1"/>
  <c r="G378" i="1"/>
  <c r="J378" i="1"/>
  <c r="D381" i="1"/>
  <c r="G381" i="1"/>
  <c r="J381" i="1"/>
  <c r="K352" i="1"/>
  <c r="I352" i="1"/>
  <c r="H352" i="1"/>
  <c r="L344" i="1"/>
  <c r="M379" i="1" l="1"/>
  <c r="M396" i="1"/>
  <c r="M377" i="1"/>
  <c r="M397" i="1"/>
  <c r="D399" i="1"/>
  <c r="M381" i="1"/>
  <c r="M376" i="1"/>
  <c r="M380" i="1"/>
  <c r="M378" i="1"/>
  <c r="G332" i="1"/>
  <c r="J332" i="1"/>
  <c r="G333" i="1"/>
  <c r="J333" i="1"/>
  <c r="G334" i="1"/>
  <c r="J334" i="1"/>
  <c r="D332" i="1"/>
  <c r="D333" i="1"/>
  <c r="D334" i="1"/>
  <c r="D315" i="1"/>
  <c r="K316" i="1"/>
  <c r="D331" i="1"/>
  <c r="G331" i="1"/>
  <c r="J331" i="1"/>
  <c r="G329" i="1"/>
  <c r="J329" i="1"/>
  <c r="D329" i="1"/>
  <c r="M333" i="1" l="1"/>
  <c r="M329" i="1"/>
  <c r="M331" i="1"/>
  <c r="M334" i="1"/>
  <c r="M332" i="1"/>
  <c r="L293" i="1"/>
  <c r="I293" i="1"/>
  <c r="H293" i="1"/>
  <c r="F293" i="1"/>
  <c r="L247" i="1"/>
  <c r="K247" i="1"/>
  <c r="I247" i="1"/>
  <c r="H247" i="1"/>
  <c r="F247" i="1"/>
  <c r="E247" i="1"/>
  <c r="D237" i="1"/>
  <c r="K293" i="1" l="1"/>
  <c r="D217" i="1"/>
  <c r="M217" i="1" s="1"/>
  <c r="D218" i="1"/>
  <c r="M218" i="1" s="1"/>
  <c r="D219" i="1"/>
  <c r="M219" i="1" s="1"/>
  <c r="L153" i="1" l="1"/>
  <c r="I153" i="1"/>
  <c r="H153" i="1"/>
  <c r="F153" i="1"/>
  <c r="E153" i="1"/>
  <c r="K153" i="1" l="1"/>
  <c r="K110" i="1"/>
  <c r="K149" i="1" s="1"/>
  <c r="L110" i="1"/>
  <c r="L149" i="1" s="1"/>
  <c r="L94" i="1"/>
  <c r="I94" i="1"/>
  <c r="H94" i="1"/>
  <c r="F94" i="1"/>
  <c r="E94" i="1"/>
  <c r="G62" i="1"/>
  <c r="J62" i="1"/>
  <c r="G63" i="1"/>
  <c r="J63" i="1"/>
  <c r="G64" i="1"/>
  <c r="J64" i="1"/>
  <c r="D62" i="1"/>
  <c r="D63" i="1"/>
  <c r="D64" i="1"/>
  <c r="J59" i="1"/>
  <c r="J61" i="1"/>
  <c r="G59" i="1"/>
  <c r="G61" i="1"/>
  <c r="D59" i="1"/>
  <c r="D61" i="1"/>
  <c r="M59" i="1" l="1"/>
  <c r="M64" i="1"/>
  <c r="M63" i="1"/>
  <c r="M61" i="1"/>
  <c r="M62" i="1"/>
  <c r="E53" i="1"/>
  <c r="F38" i="1" l="1"/>
  <c r="E38" i="1"/>
  <c r="E37" i="1" s="1"/>
  <c r="E89" i="1" s="1"/>
  <c r="K27" i="1"/>
  <c r="L27" i="1"/>
  <c r="K56" i="1"/>
  <c r="F89" i="1" l="1"/>
  <c r="D37" i="1"/>
  <c r="K53" i="1"/>
  <c r="J53" i="1" s="1"/>
  <c r="D57" i="1"/>
  <c r="G57" i="1"/>
  <c r="J57" i="1"/>
  <c r="J50" i="1"/>
  <c r="J51" i="1"/>
  <c r="J52" i="1"/>
  <c r="J54" i="1"/>
  <c r="J55" i="1"/>
  <c r="J56" i="1"/>
  <c r="G50" i="1"/>
  <c r="G51" i="1"/>
  <c r="G52" i="1"/>
  <c r="G53" i="1"/>
  <c r="G54" i="1"/>
  <c r="G55" i="1"/>
  <c r="G56" i="1"/>
  <c r="D50" i="1"/>
  <c r="D51" i="1"/>
  <c r="D52" i="1"/>
  <c r="D53" i="1"/>
  <c r="D54" i="1"/>
  <c r="D55" i="1"/>
  <c r="D56" i="1"/>
  <c r="D89" i="1" l="1"/>
  <c r="M52" i="1"/>
  <c r="M54" i="1"/>
  <c r="M57" i="1"/>
  <c r="M56" i="1"/>
  <c r="M51" i="1"/>
  <c r="M55" i="1"/>
  <c r="M50" i="1"/>
  <c r="M53" i="1"/>
  <c r="K35" i="1"/>
  <c r="L35" i="1"/>
  <c r="G20" i="1"/>
  <c r="J19" i="1"/>
  <c r="J20" i="1"/>
  <c r="G19" i="1"/>
  <c r="D19" i="1"/>
  <c r="M20" i="1" l="1"/>
  <c r="M19" i="1"/>
  <c r="J395" i="1"/>
  <c r="G395" i="1"/>
  <c r="G399" i="1" s="1"/>
  <c r="D395" i="1"/>
  <c r="L345" i="1"/>
  <c r="L352" i="1" s="1"/>
  <c r="M395" i="1" l="1"/>
  <c r="J399" i="1"/>
  <c r="L38" i="1"/>
  <c r="K38" i="1"/>
  <c r="G38" i="1"/>
  <c r="D38" i="1"/>
  <c r="M399" i="1" l="1"/>
  <c r="J38" i="1"/>
  <c r="B38" i="1"/>
  <c r="L33" i="1"/>
  <c r="J18" i="1"/>
  <c r="G18" i="1"/>
  <c r="D18" i="1"/>
  <c r="M18" i="1" l="1"/>
  <c r="J373" i="1"/>
  <c r="J375" i="1"/>
  <c r="G373" i="1"/>
  <c r="G375" i="1"/>
  <c r="D373" i="1"/>
  <c r="K369" i="1"/>
  <c r="K393" i="1" s="1"/>
  <c r="K317" i="1"/>
  <c r="K341" i="1" s="1"/>
  <c r="K179" i="1"/>
  <c r="K208" i="1"/>
  <c r="K232" i="1" l="1"/>
  <c r="M375" i="1"/>
  <c r="M373" i="1"/>
  <c r="J108" i="1"/>
  <c r="G108" i="1"/>
  <c r="D108" i="1"/>
  <c r="M108" i="1" l="1"/>
  <c r="K92" i="1"/>
  <c r="K94" i="1" s="1"/>
  <c r="K33" i="1"/>
  <c r="J27" i="1" l="1"/>
  <c r="J28" i="1"/>
  <c r="J29" i="1"/>
  <c r="J30" i="1"/>
  <c r="J31" i="1"/>
  <c r="J32" i="1"/>
  <c r="J33" i="1"/>
  <c r="J34" i="1"/>
  <c r="J35" i="1"/>
  <c r="J36" i="1"/>
  <c r="J39" i="1"/>
  <c r="J41" i="1"/>
  <c r="J42" i="1"/>
  <c r="J43" i="1"/>
  <c r="J44" i="1"/>
  <c r="J45" i="1"/>
  <c r="J46" i="1"/>
  <c r="J47" i="1"/>
  <c r="J48" i="1"/>
  <c r="J49" i="1"/>
  <c r="J58" i="1"/>
  <c r="J91" i="1"/>
  <c r="J92" i="1"/>
  <c r="J93" i="1"/>
  <c r="J94" i="1"/>
  <c r="J98" i="1"/>
  <c r="J99" i="1"/>
  <c r="J100" i="1"/>
  <c r="J101" i="1"/>
  <c r="J104" i="1"/>
  <c r="J105" i="1"/>
  <c r="J106" i="1"/>
  <c r="J107" i="1"/>
  <c r="J109" i="1"/>
  <c r="J110" i="1"/>
  <c r="J111" i="1"/>
  <c r="J112" i="1"/>
  <c r="J113" i="1"/>
  <c r="J114" i="1"/>
  <c r="J116" i="1"/>
  <c r="J117" i="1"/>
  <c r="J118" i="1"/>
  <c r="J119" i="1"/>
  <c r="J120" i="1"/>
  <c r="J121" i="1"/>
  <c r="J122" i="1"/>
  <c r="J123" i="1"/>
  <c r="J149" i="1"/>
  <c r="J151" i="1"/>
  <c r="J152" i="1"/>
  <c r="J153" i="1"/>
  <c r="J155" i="1"/>
  <c r="J156" i="1"/>
  <c r="J157" i="1"/>
  <c r="J158" i="1"/>
  <c r="J159" i="1"/>
  <c r="J160" i="1"/>
  <c r="J161" i="1"/>
  <c r="J162" i="1"/>
  <c r="J170"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32" i="1"/>
  <c r="J235" i="1"/>
  <c r="J236" i="1"/>
  <c r="J237" i="1"/>
  <c r="J238" i="1"/>
  <c r="J239" i="1"/>
  <c r="J243" i="1"/>
  <c r="J245" i="1"/>
  <c r="J246" i="1"/>
  <c r="J247" i="1"/>
  <c r="J250" i="1"/>
  <c r="J251" i="1"/>
  <c r="J254" i="1"/>
  <c r="J259" i="1"/>
  <c r="J260" i="1"/>
  <c r="J261" i="1"/>
  <c r="J262" i="1"/>
  <c r="J285" i="1"/>
  <c r="J287" i="1"/>
  <c r="J288" i="1"/>
  <c r="J289" i="1"/>
  <c r="J290" i="1"/>
  <c r="J291" i="1"/>
  <c r="J293" i="1"/>
  <c r="J295" i="1"/>
  <c r="J296" i="1"/>
  <c r="J301" i="1"/>
  <c r="J303" i="1"/>
  <c r="J304" i="1"/>
  <c r="J313" i="1"/>
  <c r="J314" i="1"/>
  <c r="J315" i="1"/>
  <c r="J316" i="1"/>
  <c r="J317" i="1"/>
  <c r="J318" i="1"/>
  <c r="J319" i="1"/>
  <c r="J320" i="1"/>
  <c r="J321" i="1"/>
  <c r="J322" i="1"/>
  <c r="J323" i="1"/>
  <c r="J325" i="1"/>
  <c r="J326" i="1"/>
  <c r="J327" i="1"/>
  <c r="J328" i="1"/>
  <c r="J330" i="1"/>
  <c r="J341" i="1"/>
  <c r="J343" i="1"/>
  <c r="J344" i="1"/>
  <c r="J345" i="1"/>
  <c r="J346" i="1"/>
  <c r="J347" i="1"/>
  <c r="J348" i="1"/>
  <c r="J349" i="1"/>
  <c r="J350" i="1"/>
  <c r="J352" i="1"/>
  <c r="J354" i="1"/>
  <c r="J355" i="1"/>
  <c r="J356" i="1"/>
  <c r="J357" i="1"/>
  <c r="J358" i="1"/>
  <c r="J359" i="1"/>
  <c r="J360" i="1"/>
  <c r="J361" i="1"/>
  <c r="J362" i="1"/>
  <c r="J363" i="1"/>
  <c r="J364" i="1"/>
  <c r="J365" i="1"/>
  <c r="J366" i="1"/>
  <c r="J367" i="1"/>
  <c r="J368" i="1"/>
  <c r="J369" i="1"/>
  <c r="J370" i="1"/>
  <c r="J371" i="1"/>
  <c r="J372" i="1"/>
  <c r="J393" i="1"/>
  <c r="J401" i="1"/>
  <c r="J402" i="1"/>
  <c r="J403" i="1"/>
  <c r="J406" i="1"/>
  <c r="J17" i="1"/>
  <c r="G27" i="1"/>
  <c r="G28" i="1"/>
  <c r="G29" i="1"/>
  <c r="G30" i="1"/>
  <c r="G31" i="1"/>
  <c r="G32" i="1"/>
  <c r="G33" i="1"/>
  <c r="G34" i="1"/>
  <c r="G35" i="1"/>
  <c r="G36" i="1"/>
  <c r="G39" i="1"/>
  <c r="G41" i="1"/>
  <c r="G42" i="1"/>
  <c r="G43" i="1"/>
  <c r="G44" i="1"/>
  <c r="G45" i="1"/>
  <c r="G46" i="1"/>
  <c r="G47" i="1"/>
  <c r="G48" i="1"/>
  <c r="G49" i="1"/>
  <c r="G58" i="1"/>
  <c r="G91" i="1"/>
  <c r="G92" i="1"/>
  <c r="G93" i="1"/>
  <c r="G94" i="1"/>
  <c r="G98" i="1"/>
  <c r="G99" i="1"/>
  <c r="G100" i="1"/>
  <c r="G101" i="1"/>
  <c r="G104" i="1"/>
  <c r="G105" i="1"/>
  <c r="G106" i="1"/>
  <c r="G107" i="1"/>
  <c r="G109" i="1"/>
  <c r="G110" i="1"/>
  <c r="G111" i="1"/>
  <c r="G112" i="1"/>
  <c r="G113" i="1"/>
  <c r="G114" i="1"/>
  <c r="G116" i="1"/>
  <c r="G117" i="1"/>
  <c r="G118" i="1"/>
  <c r="G119" i="1"/>
  <c r="G120" i="1"/>
  <c r="G121" i="1"/>
  <c r="G122" i="1"/>
  <c r="G123" i="1"/>
  <c r="G149" i="1"/>
  <c r="G151" i="1"/>
  <c r="G152" i="1"/>
  <c r="G153" i="1"/>
  <c r="G155" i="1"/>
  <c r="G156" i="1"/>
  <c r="G157" i="1"/>
  <c r="G158" i="1"/>
  <c r="G159" i="1"/>
  <c r="G160" i="1"/>
  <c r="G161" i="1"/>
  <c r="G162" i="1"/>
  <c r="G170"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32" i="1"/>
  <c r="G235" i="1"/>
  <c r="G236" i="1"/>
  <c r="G237" i="1"/>
  <c r="G238" i="1"/>
  <c r="G239" i="1"/>
  <c r="G243" i="1"/>
  <c r="G245" i="1"/>
  <c r="G246" i="1"/>
  <c r="G247" i="1"/>
  <c r="G250" i="1"/>
  <c r="G251" i="1"/>
  <c r="G254" i="1"/>
  <c r="G285" i="1"/>
  <c r="G287" i="1"/>
  <c r="G288" i="1"/>
  <c r="G289" i="1"/>
  <c r="G290" i="1"/>
  <c r="G291" i="1"/>
  <c r="G293" i="1"/>
  <c r="G295" i="1"/>
  <c r="G296" i="1"/>
  <c r="G301" i="1"/>
  <c r="G303" i="1"/>
  <c r="G304" i="1"/>
  <c r="G313" i="1"/>
  <c r="G314" i="1"/>
  <c r="G315" i="1"/>
  <c r="G316" i="1"/>
  <c r="G317" i="1"/>
  <c r="G318" i="1"/>
  <c r="G319" i="1"/>
  <c r="G320" i="1"/>
  <c r="G321" i="1"/>
  <c r="G322" i="1"/>
  <c r="G323" i="1"/>
  <c r="G325" i="1"/>
  <c r="G326" i="1"/>
  <c r="G327" i="1"/>
  <c r="G328" i="1"/>
  <c r="G330" i="1"/>
  <c r="G341" i="1"/>
  <c r="G343" i="1"/>
  <c r="G344" i="1"/>
  <c r="G345" i="1"/>
  <c r="G346" i="1"/>
  <c r="G347" i="1"/>
  <c r="G348" i="1"/>
  <c r="G349" i="1"/>
  <c r="G350" i="1"/>
  <c r="G352" i="1"/>
  <c r="G354" i="1"/>
  <c r="G355" i="1"/>
  <c r="G356" i="1"/>
  <c r="G357" i="1"/>
  <c r="G358" i="1"/>
  <c r="G359" i="1"/>
  <c r="G360" i="1"/>
  <c r="G361" i="1"/>
  <c r="G362" i="1"/>
  <c r="G363" i="1"/>
  <c r="G364" i="1"/>
  <c r="G365" i="1"/>
  <c r="G366" i="1"/>
  <c r="G367" i="1"/>
  <c r="G368" i="1"/>
  <c r="G369" i="1"/>
  <c r="G370" i="1"/>
  <c r="G371" i="1"/>
  <c r="G372" i="1"/>
  <c r="G393" i="1"/>
  <c r="G401" i="1"/>
  <c r="G402" i="1"/>
  <c r="G403" i="1"/>
  <c r="G406" i="1"/>
  <c r="G17" i="1"/>
  <c r="D27" i="1"/>
  <c r="D28" i="1"/>
  <c r="D29" i="1"/>
  <c r="D30" i="1"/>
  <c r="D31" i="1"/>
  <c r="D32" i="1"/>
  <c r="D33" i="1"/>
  <c r="D34" i="1"/>
  <c r="D35" i="1"/>
  <c r="D36" i="1"/>
  <c r="D39" i="1"/>
  <c r="D41" i="1"/>
  <c r="D42" i="1"/>
  <c r="D43" i="1"/>
  <c r="D44" i="1"/>
  <c r="D45" i="1"/>
  <c r="D46" i="1"/>
  <c r="D47" i="1"/>
  <c r="D48" i="1"/>
  <c r="D49" i="1"/>
  <c r="D58" i="1"/>
  <c r="D91" i="1"/>
  <c r="D92" i="1"/>
  <c r="D93" i="1"/>
  <c r="D94" i="1"/>
  <c r="D98" i="1"/>
  <c r="D99" i="1"/>
  <c r="D100" i="1"/>
  <c r="D101" i="1"/>
  <c r="D104" i="1"/>
  <c r="D105" i="1"/>
  <c r="D106" i="1"/>
  <c r="D107" i="1"/>
  <c r="D109" i="1"/>
  <c r="D110" i="1"/>
  <c r="D111" i="1"/>
  <c r="D112" i="1"/>
  <c r="D113" i="1"/>
  <c r="D114" i="1"/>
  <c r="D116" i="1"/>
  <c r="D117" i="1"/>
  <c r="D118" i="1"/>
  <c r="D119" i="1"/>
  <c r="D120" i="1"/>
  <c r="D121" i="1"/>
  <c r="D122" i="1"/>
  <c r="D123" i="1"/>
  <c r="D149" i="1"/>
  <c r="D151" i="1"/>
  <c r="D152" i="1"/>
  <c r="D153" i="1"/>
  <c r="D155" i="1"/>
  <c r="D156" i="1"/>
  <c r="D157" i="1"/>
  <c r="D158" i="1"/>
  <c r="D159" i="1"/>
  <c r="D160" i="1"/>
  <c r="D161" i="1"/>
  <c r="D162" i="1"/>
  <c r="D170"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32" i="1"/>
  <c r="D235" i="1"/>
  <c r="D236" i="1"/>
  <c r="D238" i="1"/>
  <c r="D239" i="1"/>
  <c r="D243" i="1"/>
  <c r="D245" i="1"/>
  <c r="D246" i="1"/>
  <c r="D247" i="1"/>
  <c r="D250" i="1"/>
  <c r="D251" i="1"/>
  <c r="D254" i="1"/>
  <c r="D287" i="1"/>
  <c r="D288" i="1"/>
  <c r="D289" i="1"/>
  <c r="D290" i="1"/>
  <c r="D291" i="1"/>
  <c r="D293" i="1"/>
  <c r="D295" i="1"/>
  <c r="D296" i="1"/>
  <c r="D301" i="1"/>
  <c r="D303" i="1"/>
  <c r="D304" i="1"/>
  <c r="D313" i="1"/>
  <c r="D314" i="1"/>
  <c r="D316" i="1"/>
  <c r="D317" i="1"/>
  <c r="D318" i="1"/>
  <c r="D319" i="1"/>
  <c r="D320" i="1"/>
  <c r="D321" i="1"/>
  <c r="D322" i="1"/>
  <c r="D323" i="1"/>
  <c r="D325" i="1"/>
  <c r="D326" i="1"/>
  <c r="D327" i="1"/>
  <c r="D328" i="1"/>
  <c r="D330" i="1"/>
  <c r="D341" i="1"/>
  <c r="D343" i="1"/>
  <c r="D344" i="1"/>
  <c r="D345" i="1"/>
  <c r="D346" i="1"/>
  <c r="D347" i="1"/>
  <c r="D348" i="1"/>
  <c r="D349" i="1"/>
  <c r="D350" i="1"/>
  <c r="D352" i="1"/>
  <c r="D354" i="1"/>
  <c r="D355" i="1"/>
  <c r="D356" i="1"/>
  <c r="D357" i="1"/>
  <c r="D358" i="1"/>
  <c r="D359" i="1"/>
  <c r="D360" i="1"/>
  <c r="D361" i="1"/>
  <c r="D362" i="1"/>
  <c r="D363" i="1"/>
  <c r="D364" i="1"/>
  <c r="D365" i="1"/>
  <c r="D366" i="1"/>
  <c r="D367" i="1"/>
  <c r="D368" i="1"/>
  <c r="D369" i="1"/>
  <c r="D370" i="1"/>
  <c r="D371" i="1"/>
  <c r="D372" i="1"/>
  <c r="D393" i="1"/>
  <c r="D401" i="1"/>
  <c r="D402" i="1"/>
  <c r="D403" i="1"/>
  <c r="D406" i="1"/>
  <c r="D17" i="1"/>
  <c r="M250" i="1" l="1"/>
  <c r="M162" i="1"/>
  <c r="M43" i="1"/>
  <c r="M354" i="1"/>
  <c r="M44" i="1"/>
  <c r="M406" i="1"/>
  <c r="M367" i="1"/>
  <c r="M341" i="1"/>
  <c r="M314" i="1"/>
  <c r="M238" i="1"/>
  <c r="M214" i="1"/>
  <c r="M206" i="1"/>
  <c r="M198" i="1"/>
  <c r="M190" i="1"/>
  <c r="M182" i="1"/>
  <c r="M174" i="1"/>
  <c r="M159" i="1"/>
  <c r="M118" i="1"/>
  <c r="M112" i="1"/>
  <c r="M46" i="1"/>
  <c r="M42" i="1"/>
  <c r="M33" i="1"/>
  <c r="M403" i="1"/>
  <c r="M370" i="1"/>
  <c r="M366" i="1"/>
  <c r="M362" i="1"/>
  <c r="M358" i="1"/>
  <c r="M349" i="1"/>
  <c r="M345" i="1"/>
  <c r="M330" i="1"/>
  <c r="M326" i="1"/>
  <c r="M321" i="1"/>
  <c r="M319" i="1"/>
  <c r="M317" i="1"/>
  <c r="M313" i="1"/>
  <c r="M289" i="1"/>
  <c r="M246" i="1"/>
  <c r="M243" i="1"/>
  <c r="M237" i="1"/>
  <c r="M213" i="1"/>
  <c r="M209" i="1"/>
  <c r="M205" i="1"/>
  <c r="M201" i="1"/>
  <c r="M197" i="1"/>
  <c r="M193" i="1"/>
  <c r="M189" i="1"/>
  <c r="M185" i="1"/>
  <c r="M181" i="1"/>
  <c r="M177" i="1"/>
  <c r="M173" i="1"/>
  <c r="M158" i="1"/>
  <c r="M153" i="1"/>
  <c r="M151" i="1"/>
  <c r="M120" i="1"/>
  <c r="M111" i="1"/>
  <c r="M107" i="1"/>
  <c r="M104" i="1"/>
  <c r="M99" i="1"/>
  <c r="M93" i="1"/>
  <c r="M49" i="1"/>
  <c r="M36" i="1"/>
  <c r="M32" i="1"/>
  <c r="M28" i="1"/>
  <c r="M371" i="1"/>
  <c r="M359" i="1"/>
  <c r="M290" i="1"/>
  <c r="M39" i="1"/>
  <c r="M402" i="1"/>
  <c r="M393" i="1"/>
  <c r="M369" i="1"/>
  <c r="M365" i="1"/>
  <c r="M361" i="1"/>
  <c r="M357" i="1"/>
  <c r="M352" i="1"/>
  <c r="M348" i="1"/>
  <c r="M344" i="1"/>
  <c r="M328" i="1"/>
  <c r="M325" i="1"/>
  <c r="M320" i="1"/>
  <c r="M318" i="1"/>
  <c r="M316" i="1"/>
  <c r="M304" i="1"/>
  <c r="M296" i="1"/>
  <c r="M293" i="1"/>
  <c r="M288" i="1"/>
  <c r="M254" i="1"/>
  <c r="M245" i="1"/>
  <c r="M236" i="1"/>
  <c r="M216" i="1"/>
  <c r="M212" i="1"/>
  <c r="M208" i="1"/>
  <c r="M204" i="1"/>
  <c r="M200" i="1"/>
  <c r="M196" i="1"/>
  <c r="M192" i="1"/>
  <c r="M188" i="1"/>
  <c r="M184" i="1"/>
  <c r="M180" i="1"/>
  <c r="M176" i="1"/>
  <c r="M172" i="1"/>
  <c r="M161" i="1"/>
  <c r="M157" i="1"/>
  <c r="M149" i="1"/>
  <c r="M122" i="1"/>
  <c r="M119" i="1"/>
  <c r="M116" i="1"/>
  <c r="M114" i="1"/>
  <c r="M106" i="1"/>
  <c r="M98" i="1"/>
  <c r="M92" i="1"/>
  <c r="M48" i="1"/>
  <c r="M35" i="1"/>
  <c r="M31" i="1"/>
  <c r="M27" i="1"/>
  <c r="M363" i="1"/>
  <c r="M350" i="1"/>
  <c r="M346" i="1"/>
  <c r="M322" i="1"/>
  <c r="M301" i="1"/>
  <c r="M232" i="1"/>
  <c r="M210" i="1"/>
  <c r="M202" i="1"/>
  <c r="M194" i="1"/>
  <c r="M186" i="1"/>
  <c r="M178" i="1"/>
  <c r="M155" i="1"/>
  <c r="M152" i="1"/>
  <c r="M121" i="1"/>
  <c r="M109" i="1"/>
  <c r="M100" i="1"/>
  <c r="M58" i="1"/>
  <c r="M29" i="1"/>
  <c r="M401" i="1"/>
  <c r="M372" i="1"/>
  <c r="M368" i="1"/>
  <c r="M364" i="1"/>
  <c r="M360" i="1"/>
  <c r="M356" i="1"/>
  <c r="M347" i="1"/>
  <c r="M343" i="1"/>
  <c r="M327" i="1"/>
  <c r="M323" i="1"/>
  <c r="M315" i="1"/>
  <c r="M303" i="1"/>
  <c r="M295" i="1"/>
  <c r="M291" i="1"/>
  <c r="M287" i="1"/>
  <c r="M247" i="1"/>
  <c r="M239" i="1"/>
  <c r="M235" i="1"/>
  <c r="M215" i="1"/>
  <c r="M211" i="1"/>
  <c r="M207" i="1"/>
  <c r="M203" i="1"/>
  <c r="M195" i="1"/>
  <c r="M191" i="1"/>
  <c r="M187" i="1"/>
  <c r="M183" i="1"/>
  <c r="M179" i="1"/>
  <c r="M175" i="1"/>
  <c r="M170" i="1"/>
  <c r="M160" i="1"/>
  <c r="M156" i="1"/>
  <c r="M123" i="1"/>
  <c r="M113" i="1"/>
  <c r="M110" i="1"/>
  <c r="M105" i="1"/>
  <c r="M101" i="1"/>
  <c r="M94" i="1"/>
  <c r="M91" i="1"/>
  <c r="M47" i="1"/>
  <c r="M41" i="1"/>
  <c r="M34" i="1"/>
  <c r="M30" i="1"/>
  <c r="M17" i="1"/>
  <c r="K37" i="1"/>
  <c r="K89" i="1" s="1"/>
  <c r="L37" i="1"/>
  <c r="L89" i="1" s="1"/>
  <c r="J89" i="1" l="1"/>
  <c r="J37" i="1"/>
  <c r="M37" i="1" s="1"/>
  <c r="G37" i="1"/>
  <c r="M89" i="1" l="1"/>
  <c r="D285" i="1"/>
  <c r="M285" i="1" s="1"/>
  <c r="D260" i="1"/>
  <c r="M260" i="1" s="1"/>
  <c r="D262" i="1"/>
  <c r="M262" i="1" s="1"/>
  <c r="D259" i="1"/>
  <c r="M259" i="1" s="1"/>
  <c r="D261" i="1"/>
  <c r="M261" i="1" s="1"/>
  <c r="D11" i="1"/>
  <c r="M11" i="1" s="1"/>
  <c r="D10" i="1"/>
  <c r="M10" i="1" s="1"/>
  <c r="D12" i="1"/>
  <c r="M12" i="1" s="1"/>
  <c r="D9" i="1"/>
  <c r="M9" i="1" s="1"/>
  <c r="M14" i="1" l="1"/>
  <c r="G69" i="1"/>
  <c r="G67" i="1"/>
  <c r="G66" i="1"/>
  <c r="G89" i="1"/>
  <c r="G68" i="1"/>
</calcChain>
</file>

<file path=xl/sharedStrings.xml><?xml version="1.0" encoding="utf-8"?>
<sst xmlns="http://schemas.openxmlformats.org/spreadsheetml/2006/main" count="1170" uniqueCount="946">
  <si>
    <t>შესრულებული სამუშაოები</t>
  </si>
  <si>
    <t>ადგ.დაფინანსებით</t>
  </si>
  <si>
    <t>სახ.დაფინანსებით</t>
  </si>
  <si>
    <t>ხელშკრულებით</t>
  </si>
  <si>
    <t>ადგ.დაფინანს.</t>
  </si>
  <si>
    <t xml:space="preserve"> სახ.დაფინანს.</t>
  </si>
  <si>
    <t>სულ ფაქტი</t>
  </si>
  <si>
    <t>ფაქტი ადგ.დაფინანს.</t>
  </si>
  <si>
    <t>ფაქტი სახ.დაფინანს.</t>
  </si>
  <si>
    <t>სამუშაოთა შესრულების ვადები</t>
  </si>
  <si>
    <t xml:space="preserve">ხელშეკრულების ნომერი </t>
  </si>
  <si>
    <t>მომწოდებელი</t>
  </si>
  <si>
    <t>შენიშვნა</t>
  </si>
  <si>
    <t>02 01 01 01</t>
  </si>
  <si>
    <t>გზების მიდინარე შეკეთება</t>
  </si>
  <si>
    <t>ქ. საგარეჯოს და მუნიციპალიტეტის სოფლების დაზიანებული ასფალტბეტონის გზის ორმოული შეკეთების სამუშაოები</t>
  </si>
  <si>
    <t>05,05,2021-03,08,2021</t>
  </si>
  <si>
    <t>48/1</t>
  </si>
  <si>
    <t>შპს ჯე-ბილინგ გრუპი</t>
  </si>
  <si>
    <t>სულ</t>
  </si>
  <si>
    <t>02 01 02</t>
  </si>
  <si>
    <t>ახალი გზების მშენებლობა</t>
  </si>
  <si>
    <t>სოფელ ქვემო და ზემო ყანდაურის დამაკავშირებელი გზის მოასფალტება მთავრ. განკ N75 17.01.2022</t>
  </si>
  <si>
    <t>30,09,2021-20,05,2022</t>
  </si>
  <si>
    <t>117/2</t>
  </si>
  <si>
    <t>შპს იბერი</t>
  </si>
  <si>
    <t>ქ.საგარეჯოში იმედის ქუჩაზე N15 და N17 საცხოვრებელი კორპუსების ეზოების მოასფალტების სამუშაოები</t>
  </si>
  <si>
    <t>29,09,2021-17,11,2021</t>
  </si>
  <si>
    <t>116/1</t>
  </si>
  <si>
    <t>შპს ენ-დი-როუდი</t>
  </si>
  <si>
    <t>145.18503 გადახდ.2021წ.ადგ.2022წ.ვალდ.7.43496</t>
  </si>
  <si>
    <t>სოფელ გიორგიწმინდაში სასაფლაოს გზის ცემენტ-ბეტონით მოწყობის სამუშაოები</t>
  </si>
  <si>
    <t>22,09,2021-03,11,2021</t>
  </si>
  <si>
    <t>113/1</t>
  </si>
  <si>
    <t>შპს აგა</t>
  </si>
  <si>
    <t>59.97740 გადახდ.2021წ.2022წ.ვალდ.3.15670</t>
  </si>
  <si>
    <t>ქ. საგარეჯოში იმედის ქუჩაზე N19,N21, N23 და N25 კორპუსის ეზოების მოასფალტების სამუშაოები მთა. განკ N75 17.01.2022</t>
  </si>
  <si>
    <t>8/2</t>
  </si>
  <si>
    <t>04,08,2021-05,10,2021</t>
  </si>
  <si>
    <t>შპს დინ გრუპი</t>
  </si>
  <si>
    <t>356.84328გადახდ.2021წ.-170.28590ადგ,186.55738 საზ.2022წ.ვალდ 68.87151 სახ</t>
  </si>
  <si>
    <t>საავტომობილო  გზების სარეაბილიტაციო  სამუშაოების  საპროექტო სახარჯთაღრიცხვო დოკუმენტაციის შედგენის მომსახურება</t>
  </si>
  <si>
    <t>10,01,-31.12.2022</t>
  </si>
  <si>
    <t>შპს თბილგზაპროექტი</t>
  </si>
  <si>
    <t>29.09.2021-17.11.2021 (პირვ. ეტაპი)-1.04.2022 (მეორე ეტაპი)</t>
  </si>
  <si>
    <t>116/2</t>
  </si>
  <si>
    <t>სს ,,კავკასავტომაგისტრალი"</t>
  </si>
  <si>
    <t>2021 წ.გადახდ.73.07571,ადგ.2.632, სახ70.44371, 2022წ ვალდ.სახ-195.85902, ადგ.14,121,სულ209.97902</t>
  </si>
  <si>
    <t>2021წ.გადახდ.102.63150, ადგ2.632,სახ.99.99950, 2022წ.ვალდ.ადგ5264,სახ101.99283,სულ107.25683</t>
  </si>
  <si>
    <t>26.10.2021-11.03.2022</t>
  </si>
  <si>
    <t>კავკასავტომაგისტრალი</t>
  </si>
  <si>
    <t>18.02.2021-18.02.2022</t>
  </si>
  <si>
    <t>86/1</t>
  </si>
  <si>
    <t>2021წ.გადახდ233.72525, ადგ28.37425, სახ205.351, 2022წ.ვალდ.289.87475,ადგ14.49374, სახ.275.38101</t>
  </si>
  <si>
    <t>2.08.2021-1.11.2021</t>
  </si>
  <si>
    <t>23,07,2021-18.02.2022</t>
  </si>
  <si>
    <t>86/3</t>
  </si>
  <si>
    <t>2021წ.გადახდ.232.12663,ადგ.25.45072, სახ.206.97591, 2022წ.ვალდ.241.57337, ადგ13.24928,სახ228.32409</t>
  </si>
  <si>
    <t>ინფრასტრუქტურული ობიექტების სამშენებლო სამუშაოებზე საზედამხედველო მომსახურების გაწევა</t>
  </si>
  <si>
    <t>განკ#2685 31.12.2020</t>
  </si>
  <si>
    <t>განკ#1573 19.08.2020</t>
  </si>
  <si>
    <t>განკ#2630 18.12.2019</t>
  </si>
  <si>
    <t>02 01 03</t>
  </si>
  <si>
    <t>საგზაო ნიშნები და უსაფრთხოება</t>
  </si>
  <si>
    <t>საგარეჯოს მუნიც.კახეთის გზატკეცილზე მდ.რკინის კონსტრუქციაზე განსათავსებლად საინფორმაციო ბანერის "ატარე პირბადე" შესყიდვა</t>
  </si>
  <si>
    <t>08,02,-15.02.2022</t>
  </si>
  <si>
    <t>შპს კოპიპრინტ-2000</t>
  </si>
  <si>
    <t>28.08.2021-31.03.2023</t>
  </si>
  <si>
    <t>101/1</t>
  </si>
  <si>
    <t>შპს დელტა კონსალტინგი</t>
  </si>
  <si>
    <t>02 02 01</t>
  </si>
  <si>
    <t>სასმელი წყლის სისტემის რეაბილიტაცია</t>
  </si>
  <si>
    <t>ს.მ.</t>
  </si>
  <si>
    <t>სასმელი წყლის ჭაბურღილებზე დახარჯული ელენერგიის ხარჯი აბN9701762761,9310013550</t>
  </si>
  <si>
    <t>წერილი N 26-10012022-88252</t>
  </si>
  <si>
    <t>სს ეპ-ჯორჯია</t>
  </si>
  <si>
    <t>ქ.საგარეჯოში კახეთის გზ. N110-ს ეზოში არსებული ორი საკანალიზაციო ჭის გაწმენდის მომსახურება</t>
  </si>
  <si>
    <t>01.01-01,02,2022</t>
  </si>
  <si>
    <t>12/2</t>
  </si>
  <si>
    <t>ი.მ. გიორგი ვარაზიშვილი</t>
  </si>
  <si>
    <t>ქ. საგარეჯოს კახეთის გზტკ. N10 კორპ. საკანალიზაციო სისტემის გაწმენდის მომსახურების ხარჯი</t>
  </si>
  <si>
    <t>17,02,-19.02.2022</t>
  </si>
  <si>
    <t>22/1</t>
  </si>
  <si>
    <t>სასმელი წყლის მილებისა და ავზებისათვის თბოსაიზოლაციო მასალების შესყიდვის ხარჯი</t>
  </si>
  <si>
    <t>4/1</t>
  </si>
  <si>
    <t>შპს გეგა 2018</t>
  </si>
  <si>
    <t>სოფ. კაზლარის წყალმომარაგების სისტემის სრულფასოვანი ფუნქციონირებისათვის ახალი ელ. აღრიცხვის კვანძის მოწყობის ხარჯი</t>
  </si>
  <si>
    <t>წერილი N 1179-01022022-87465</t>
  </si>
  <si>
    <t>სს ენერგო-პრო-ჯორჯია</t>
  </si>
  <si>
    <t>სოფ. პატარძეული სკოლამდელი აღზრდის დაწესებულებასთან არსებული ჭაბურღილზე ახალი სამფაზიანი 380ვ/სიმძლავრის აღრიცხვის კვანძის მოწყობის საფასური</t>
  </si>
  <si>
    <t>წერილი N 1301-02022022-77601</t>
  </si>
  <si>
    <t>28,09,2021-30,11,2021</t>
  </si>
  <si>
    <t>შპს ბურღი</t>
  </si>
  <si>
    <t>სოფ. შიბლიანში ლითონის რეზერვუარის  და წყალმომარაგების ქსელის რეაბილიტაციის საპროექტო-სახარჯთაღრიცხვო დოკუმენტაციის შედგენის ხარჯი</t>
  </si>
  <si>
    <t>12,01,2021-31,12,2021</t>
  </si>
  <si>
    <t>2</t>
  </si>
  <si>
    <t>შპს ელკო</t>
  </si>
  <si>
    <t xml:space="preserve">ქ. საგარეჯოში დავით აღმაშენებლის ქუჩა №15 -ში ადმინისტრაციული შენობის ეზოში დაზიანებული საკანალიზაციო სისტემის  რეაბილიტაციის სამუშაოების შესყიდვა. </t>
  </si>
  <si>
    <t>10</t>
  </si>
  <si>
    <t>ი/მ ომარი ვარაზიშვილი</t>
  </si>
  <si>
    <t>01.03.2021-30/05/2021-პირველი ეტაპი 31/03/2022 - მეორე ეტაპი</t>
  </si>
  <si>
    <t>21</t>
  </si>
  <si>
    <t>შპს შპს თერგი</t>
  </si>
  <si>
    <t>2021 წ.გადახდ.984.7965,ადგ.48.93925, სახ.935.85729, 2022წ.ვალდ.315.94047, ადგ.-21.09770, სახ.294.84277</t>
  </si>
  <si>
    <t xml:space="preserve"> მუნიციპალიტეტის სამოქმედო ტერიტორიაზე სასმელი წყლის ამქაჩი ტუმბოების ან/და მათი კომპლექტის (ახლით) ან/და ხარჯთაღრიცხვებით გათვალისწინებული რომელიმე მოწყობილობის/საქონლის შეძენა-მონტაჟის სამუშაოები</t>
  </si>
  <si>
    <t>25/1</t>
  </si>
  <si>
    <t>შპს შპს ახალი მშენებელი 2019</t>
  </si>
  <si>
    <t>განსახორციელებელი  წყალმომარაგებისა და წყალარინების ქსელების (სისტემების) მოწყობისა და რეაბილიტაციისათვის საჭირო საპროექტო-სახარჯთაღრიცხვო დოკუმენტაციის შედგენის მომსახურება.</t>
  </si>
  <si>
    <t>21,01,-31.12.2022</t>
  </si>
  <si>
    <t>8/4</t>
  </si>
  <si>
    <t>შპს ,,ელკო’’</t>
  </si>
  <si>
    <t>9.02.2022-31.12.2023</t>
  </si>
  <si>
    <t>20/1</t>
  </si>
  <si>
    <t>შპს ,,კავკასუს მოტორსი’’</t>
  </si>
  <si>
    <t>განკ#557 18.03.2020-789.17; #1167 9.07.2020-487.73</t>
  </si>
  <si>
    <t>02 03 01</t>
  </si>
  <si>
    <t>გარე განათების ქსელის ექსპლოატაცია</t>
  </si>
  <si>
    <t>ქუჩების გარე განათებაზე დახარჯული ელეენერგიის ხარჯი</t>
  </si>
  <si>
    <t>წერილი N26-10012022-88252</t>
  </si>
  <si>
    <t>30,12,2021-31.12.2022</t>
  </si>
  <si>
    <t>157/2</t>
  </si>
  <si>
    <t>ი.მ. ვახტანგ ესაიაშვილი</t>
  </si>
  <si>
    <t>02 03 02</t>
  </si>
  <si>
    <t>გარე განათების ახალი წერტილების მოწყობა</t>
  </si>
  <si>
    <t>სოფ. გიორგიწმინდის ე.წ. ,,აჭარლების დასახლებაში" ახალი ელ.აღრიცხვის კვანძის მოწყობის ხარჯი</t>
  </si>
  <si>
    <t>წერილი N1161-01022022-71309</t>
  </si>
  <si>
    <t>სოფ. სასდილოში ე.წ. ,,აჭარლების დასახლებაში" ახალი ელ.აღრიცხვის კვანძის მოწყობის ხარჯი</t>
  </si>
  <si>
    <t>ქ.საგარეჯოში დავით აღმაშენებლის ქუჩაზე საახალწლო გაფორმების სამუშაოები</t>
  </si>
  <si>
    <t>31.12.2021-2.01.2022</t>
  </si>
  <si>
    <t>შ.პ.ს. ჯეო ელექტრიკ</t>
  </si>
  <si>
    <t xml:space="preserve"> სოფელ ხაშმიდან ამავე სოფელში მდებარე საქართველოს სამოციქულო ავტოკეფალური მართლმადიდებელი ეკლესიის კუთვნილი ობიექტამდე გარე ელექტრომომარაგების  -  ელექტროგადამცემი ხაზების მშენებლობის სამუშაოები</t>
  </si>
  <si>
    <t>14,02,-16.05.2022</t>
  </si>
  <si>
    <t>შპს ,,ელექტრონ დე’’</t>
  </si>
  <si>
    <t>მუნიციპალიტეტის მასშტაბით გარეგანათების მოწყობის სამუშაოები</t>
  </si>
  <si>
    <t>28,03,2022-31.12.2022</t>
  </si>
  <si>
    <t>შ.პ.ს.ბერდე</t>
  </si>
  <si>
    <t xml:space="preserve"> საპროექტო-სახარჯთაღრიცხვო დოკუმენტაციის შედგენის მომსახურება</t>
  </si>
  <si>
    <t>21.01.-31.12.2022</t>
  </si>
  <si>
    <t>8/3</t>
  </si>
  <si>
    <t xml:space="preserve">შპს ,,ნ და ლ’’ </t>
  </si>
  <si>
    <t>02 04</t>
  </si>
  <si>
    <t>ავარიული შენობების და სახლების რეაბილიტაცია</t>
  </si>
  <si>
    <t>სოფ. პატარა ჩაილურში მცხ. დ. მაჩხაშვილის საცხოვრებელი სახლის სტიქიის  შედეგად დაზიანებული სახურავის მოწყობის სამუშაოები ბრძ.52.52220204 20.01.2022</t>
  </si>
  <si>
    <t>21,01,-26.02.2022</t>
  </si>
  <si>
    <t>8/5</t>
  </si>
  <si>
    <t>ი.მ. გელა რევაზიშვილი</t>
  </si>
  <si>
    <t>ქ.საგარეჯოში ალაზნის ქ. N7-ში მდებარე მ. დარბაისელის საცხოვრებელი სახლის სტიქიის შედეგად დაზიანებული სახურავის მწყობის სამუშაოები, ბრძ.52.52220204 20.01.2022</t>
  </si>
  <si>
    <t>ს.გიორგიწმინდაში მცხ.მ.დიღმელაშვილის სტიქიით დაზიანებული საცხ.სახლის სახურავის შეკეთების სამუშაოები ბრ.52.52220461 15.02.2022</t>
  </si>
  <si>
    <t>18,08,2021-06,10,2021</t>
  </si>
  <si>
    <t>97/1</t>
  </si>
  <si>
    <t>შპს ზზ კონსტრაქშენ</t>
  </si>
  <si>
    <t>2021 წ.გადახდ.22.27328,2022წ.ვალდ.1.3576</t>
  </si>
  <si>
    <t>ქ.საგარეჯოში მშვიდობის ქუჩაN12-ში მცხოვრები ბეჟან გრატიაშვილის სტიქიით დაზიანებული საცხ.სახლის სახურავის შეკეთების სამუშაოები</t>
  </si>
  <si>
    <t>2021 წ.გადახდ.14.500.99,2022წ.ვალდ.0.57789</t>
  </si>
  <si>
    <t>ქ.საგარეჯოში, კოსტავას ქ.N64-ში მცხ.ნათია ათანელიშვილის სტიქიის შედეგად დაზიანებული საცხოვრებელი სახლის სახურავის მოწყობა ბ.52.52220463 15.02.2022</t>
  </si>
  <si>
    <t>26</t>
  </si>
  <si>
    <t>17,01,-21.01.2022</t>
  </si>
  <si>
    <t>6/4</t>
  </si>
  <si>
    <t>შპს შპს ხუროთმოძღვარი &lt;ე და მ&gt;</t>
  </si>
  <si>
    <t>საგარეჯოში ალაზნის 47 მდე მ. დარბაისელის, პ.ჩაილურში მცხ დ. მაჩხაშვილის სტ. შედ. დაზ. საცხ.  სახლ. სახურ. რეაბ. სამუშ საპრ. სახარჯ. დოკ. შედგ. მომს.ბ.52.522220204 20.01.2022</t>
  </si>
  <si>
    <t>საგარეჯოში კოსტავას 64 მცხ.ნ.ათანელიშვილის,ს.პატარძეულში დ.ონაშვილის  ს.თოხლიაურში პ.ფოცხვერაშვილის საცხ. სახლ. რეაბ. სამ. საპრ- საარჯთაღრიცხვო დოკ. შედგენა  ბ.52.52220463 15.02.2022</t>
  </si>
  <si>
    <t>24,02,-28.02.2022</t>
  </si>
  <si>
    <t>24</t>
  </si>
  <si>
    <t>ი/მ დავითი კავთუაშვილი</t>
  </si>
  <si>
    <t>სოფ.კაკაბეთში მცხოვრები მიხეილ კუპატაძის სტიქიის შედეგად დაზ.საცხოვრებელი სახლის სახურავის მოწყობა განკ. N330 11.03.2021</t>
  </si>
  <si>
    <t>30,09,2021-19,11,2021</t>
  </si>
  <si>
    <t>117/3</t>
  </si>
  <si>
    <t>ი.მ. ზაქარია დარისპანაშვილი</t>
  </si>
  <si>
    <t>სოფ.ნინოწმინდაში მცხოვრები ვალერი გიუნაშვილის სტიქიის შედეგად დაზ.საცხოვრებელი სახლის სახურავის მოწყობა განკ. N330 11.03.2021</t>
  </si>
  <si>
    <t>ქ.საგარეჯოში მცხოვრები მანანა დათუნაშვილის სტიქიის შედეგად დაზ.საცხოვრებელი სახლის სახურავის მოწყობა განკ. N330 11.03.2021</t>
  </si>
  <si>
    <t>ს.პატარა ჩაილურში მცხოვრები,ნუნუ მაისურაძის სტიქიით დაზიანებული საცხოვრებელი სახლის სახურავის შეცვლა  განკ N330 11.03.2021</t>
  </si>
  <si>
    <t>22,12,2021-12.01.2022</t>
  </si>
  <si>
    <t>151</t>
  </si>
  <si>
    <t>ს.გიორგიწმინდაში მცხოვრები,ლევან დიღმელაშვილის სტიქიით დაზიანებული საცხოვრებელი სახლის სახურავის შეცვლა  განკ N330 11.03.2021</t>
  </si>
  <si>
    <t>სოფელ პატარძეულში მცხოვრები ომარ ჯორბენაძეს სტიქიით დაზიანებული სახცოვრებელი სახლის სახურავის მოწყობა განკ N330 11.03.2021</t>
  </si>
  <si>
    <t>23,12,2021-1301,2021</t>
  </si>
  <si>
    <t>152</t>
  </si>
  <si>
    <t>ი.მ ამირან როსტომაშვილი</t>
  </si>
  <si>
    <t>ქ.საგარეჯოში რუსთაველის ქუჩაზე მდებარე #178 კორპუსის ფასადის მოპირკეთების სამუშაოები</t>
  </si>
  <si>
    <t>04,10,2021-20,12,2021</t>
  </si>
  <si>
    <t>118/1</t>
  </si>
  <si>
    <t>შპს ინ. გრუპი</t>
  </si>
  <si>
    <t>2021 წ.გადახდ.32.38986.2022ვალდ34.98609</t>
  </si>
  <si>
    <t>ქ.საგარეჯოში რუსთაველის ქუჩაზე მდებარე #167 კორპუსის ფასადის მოპირკეთების სამუშაოები</t>
  </si>
  <si>
    <t>ქ.საგარეჯოში რუსთაველის ქუჩაზე მდებარე #176 კორპუსის ფასადის მოპირკეთების სამუშაოები</t>
  </si>
  <si>
    <t>2021 წ.გადახდ.11.57124, 2022ვალდ2.75133</t>
  </si>
  <si>
    <t>ქ.საგარეჯოში რუსთაველის ქუჩაზე მდებარე #174 კორპუსის ფასადის მოპირკეთების სამუშაოები</t>
  </si>
  <si>
    <t>2021 წ.გადახდ.13.42357, 2022ვალდ11.44536</t>
  </si>
  <si>
    <t>ს.ბადიაურში სტიქიის შედეგად დაზიანებული მოქ.თენგიზ მჭედლიშვილის საცხოვრებელი სახლის სახურავის მოწყობის სამუშაოები განკ N330 11.03.2021</t>
  </si>
  <si>
    <t>116/4</t>
  </si>
  <si>
    <t>ი.მ. დავით კავთუაშვილი</t>
  </si>
  <si>
    <t>ს.კოჭბაანში სტიქიის შედეგად დაზიანებული მოქ.მანია ფეტიაშვილის საცხოვრებელი სახლის სახურავის მოწყობის სამუშაოები განკ.N330 11.03.2021</t>
  </si>
  <si>
    <t>ს.შიბლიანში სტიქიის შედეგად დაზიანებული მოქ.ე.ქურცაძეს საცხოვრებელი სახლის სახურავის მოწყობის სამუშაოები განკ. N330 11.03.2021</t>
  </si>
  <si>
    <t>ს.ლამბალოში სტიქიის შედეგად დაზიანებული მოქ.ამზა გარიბოვის საცხოვრებელი სახლის სახურავის მოწყობის სამუშაოები განკ.N330 11.03.2021</t>
  </si>
  <si>
    <t>ს.დუზაგრამაში სტიქიის შედეგად დაზიანებული მოქ.სალიხ ად ალიევის საცხოვრებელი სახლის სახურავის მოწყობის სამუშაოები განკ.N330 11.03.2021</t>
  </si>
  <si>
    <t>31,12,2021-11.11.2022</t>
  </si>
  <si>
    <t>158/4</t>
  </si>
  <si>
    <t>ქ.საგარეჯოში მცხოვრები მოქ. ვალერი კუპატაძეს სტიქიით დაზიანებული საცხოვრებელი სახლის სახურავის მოწყობა განკ.N330 11.03.2021</t>
  </si>
  <si>
    <t>21,12,2021-11,01,2022</t>
  </si>
  <si>
    <t>150/6</t>
  </si>
  <si>
    <t>ი.მ. ნოდარ ხებრელაშვილი</t>
  </si>
  <si>
    <t>ს.წყაროსთავში მცხოვრები მოქ. გიორგი ბეჟიტაშვილის სტიქიით დაზიანებული საცხოვრებელი სახლის სახურავის მოწყობა განკ.N330 11.03.2021</t>
  </si>
  <si>
    <t>ქ.საგარეჯოში მცხ: თამაზი ოზგელდაშვილის სტიქიით დაზიანებული საცხოვრებელი სახლის სახურავის მოწყობა განკ. N330 11.03.2021</t>
  </si>
  <si>
    <t>21,12,2021-25,01,2022</t>
  </si>
  <si>
    <t>150/5</t>
  </si>
  <si>
    <t>შპს ახალი მშენებელი 2019</t>
  </si>
  <si>
    <t>შემოსავალი ხელშეკრულების პირობების დარღვევის გამო დაკისრებული პირგასამტეხლოდან  განკN330 11.03.2021</t>
  </si>
  <si>
    <t>ქ.საგარეჯოში მცხოვრები ვ.ჯავახიშვილის სტიქიით დაზიანებული საცხოვრებელი სახლის სახურავის მოწყობის სამუშაოები განკ.N330 11.03.2021</t>
  </si>
  <si>
    <t>150/7</t>
  </si>
  <si>
    <t>სოფ.წყაროსთავში მცხოვრები გიორგი გაგნიაშვილის სტიქიით დაზიანებული საცხოვრებელი სახლის სახურავის მოწყობის სამუშაოები განკ.N330 11.03.2021</t>
  </si>
  <si>
    <t>ქ.საგარეჯოში მცხოვრები ჯ.ოსიაშვილის სტიქიით დაზიანებული სახოვრებელი სახლის სახურავის მოწყობის სამუშაოები განკ.N330 11.03.2021</t>
  </si>
  <si>
    <t>150/8</t>
  </si>
  <si>
    <t>შპს ნიუ ქონსთრაქშენი</t>
  </si>
  <si>
    <t>2021 წ.გადახდ.24.00083 სახ</t>
  </si>
  <si>
    <t>ს.კოჭბაანში  მცხოვრები მ.წიკლაურის სტიქიით დაზიანებული საცხოვრებელი სახლის სახურავის მოწყობის სამუშაოები განკ.N330 11.03.2021</t>
  </si>
  <si>
    <t>21,12,2021-01,02,2022</t>
  </si>
  <si>
    <t>150/9</t>
  </si>
  <si>
    <t>ი.მ. როინი ფირყულაშვილი</t>
  </si>
  <si>
    <t>ქ.საგარეჯოში ერეკლე მეორის ქ#74-ში მდებარე მრავალბინიანი საცხ.სახლის სახურავის -პარაპეტის სარეაბილიტაციო სამუშაოები</t>
  </si>
  <si>
    <t>21,01,-22.02.2022</t>
  </si>
  <si>
    <t>8/6</t>
  </si>
  <si>
    <t>ი/მ ალექსანდრე დიღმელაშვილი</t>
  </si>
  <si>
    <t>ს.პატარძეულში მცხოვრები გიორგი მეხაშიშვილის საცხოვრებლად გადაცემული ე.წ "ვაგონის" დაზიანებული სახურავის შეკეთება  ბ52.52220807 21/03/2022</t>
  </si>
  <si>
    <t>28,12,2021-02,01,2022</t>
  </si>
  <si>
    <t>155/1</t>
  </si>
  <si>
    <t>ს.თოხლიაურში  მცხოვრები პ.ფოცხვერაშვილის სტიქიით დაზიანებული საცხოვრებელი სახლის სახურავის მოწყობის სამუშაოები ბ.52.522220463 15.02.2022</t>
  </si>
  <si>
    <t>21,03,-31.03.2022</t>
  </si>
  <si>
    <t>36/2</t>
  </si>
  <si>
    <t>შ.პ.ს. მეტალ+</t>
  </si>
  <si>
    <t>ს.პატარძეულში  მცხოვრები დ.ონაშვილის სტიქიით დაზიანებული საცხოვრებელი სახლის სახურავის მოწყობის სამუშაოები ბ.52.522220463 15.02.2022</t>
  </si>
  <si>
    <t>36/1</t>
  </si>
  <si>
    <t>02 05</t>
  </si>
  <si>
    <t>კეთილმოწყობა</t>
  </si>
  <si>
    <t>02 05 01</t>
  </si>
  <si>
    <t>საზოგადოებრივი სივრცეების მოწყობა-რეაბილიტაცია, ექსპლოატაცია</t>
  </si>
  <si>
    <t>მუნიც.ტერიტ.მდებარე უძრავი ქონების საკადასტრო აზომვითი-აგეგმვითი ნახაზების შედგენის მომსახურება</t>
  </si>
  <si>
    <t>05,03,2021-31,12,2021</t>
  </si>
  <si>
    <t xml:space="preserve"> შპს ერისი</t>
  </si>
  <si>
    <t>მუნიციპალიტეტის მიერ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t>
  </si>
  <si>
    <t>27.02.2021-27.02.2022</t>
  </si>
  <si>
    <t>29</t>
  </si>
  <si>
    <t>შ.პ.ს. საინჟინრო-მონიტორინგი</t>
  </si>
  <si>
    <t>საექსპერტო მომსახურების გაწევა</t>
  </si>
  <si>
    <t>157/6</t>
  </si>
  <si>
    <t>ლ.სამხარაულის სახ.ექსერტიზის ერ.ბიურო</t>
  </si>
  <si>
    <t>ნაშთი განკ.#2630 18.12.2019.</t>
  </si>
  <si>
    <t>02 05 02</t>
  </si>
  <si>
    <t>შენობის ფასადების რეაბილიტაცია</t>
  </si>
  <si>
    <t>02 06</t>
  </si>
  <si>
    <t>სარწყავი არხების და ნაპირსამაგრი ნაგებობების მოწყობა, რეაბილიტაცია და ექსპლოატაცია</t>
  </si>
  <si>
    <t>02 07</t>
  </si>
  <si>
    <t>სასაფლაოების მოვლა და შემოღობვა</t>
  </si>
  <si>
    <t xml:space="preserve">02 08 </t>
  </si>
  <si>
    <t>სოფლის მხარდაჭერის პროგრამა</t>
  </si>
  <si>
    <t xml:space="preserve">ნაშთი 2015 წლის  12 მარტის #506 განკარგულებით </t>
  </si>
  <si>
    <t>ნაშთი 2019 წლის 22 იანვარს #45 განკარგულებით</t>
  </si>
  <si>
    <t>ნაშთი 2019 წლის 31 დეკემბერს  #2752 განკარგულებიდან</t>
  </si>
  <si>
    <t xml:space="preserve">ნაშთი 2021 წლის 05 თებერვლის   #168 განკარგულებით </t>
  </si>
  <si>
    <t>03 01 01</t>
  </si>
  <si>
    <t>დასუფთავება და ნარჩენების გატანა</t>
  </si>
  <si>
    <t xml:space="preserve"> სოფლებსა (სოფელ მანავის ცენტრალური ქუჩებიდან, სოფელ თოხლიაურის ცენტრალური ქუჩებიდან, სოფელ პატარძეულის ცენტრალური ქუჩებიდან, სოფელი გიორგიწმინდიდან, სოფელი წყაროსთავიდან, სოფელი ნინოწმინდიდან, სოფელ ხაშმიდან -სოფელ შიბლიანამდე გადასახვევები და მიმდებარე ტერიტორიები) და ქ. საგარეჯოს ქუჩებში მუნიციპალიტეტის მიერ განთავსებული ნაგავშემკრები კონტეინერებიდან საყოფაცხოვრებო ნარჩენების გატანის მომსახურება</t>
  </si>
  <si>
    <t>31,12,2021-31.12.2022</t>
  </si>
  <si>
    <t>158/3</t>
  </si>
  <si>
    <t xml:space="preserve"> შპს პროგრესი- 2011</t>
  </si>
  <si>
    <t xml:space="preserve"> დელეგირების ხელშეკრულების თანახმად უფლებამოსილებების (მიუსაფარი ცხოველების საკითხების გადაწყვეტა)ეფექტიანი განხორციელების მიზნით 2022 წლის საწევრო გადასახადი </t>
  </si>
  <si>
    <t>2.08.2021-განუსაზღვრელი ვადით</t>
  </si>
  <si>
    <t>ა(ა)იპ - მიუსაფარი შინაური ცხოველების მართვის კახეთის ინტერმუნიციპალური სააგენტო</t>
  </si>
  <si>
    <t>ქ. საგარეჯოს ქუჩების დასუფთავება და დაგვა, წყალსადინარი არხების გაწმენდის, ცენტრალური ქუჩებისა და ტროტუარების თოვლისგან/ყინულისაგან გაწმენდის მომსახურება</t>
  </si>
  <si>
    <t>23,12,2021-31.12.2022</t>
  </si>
  <si>
    <t>152/1</t>
  </si>
  <si>
    <t xml:space="preserve"> შპს პროგრესი- 2012</t>
  </si>
  <si>
    <t>მუნიციპალიტეტის ტერიტორიაზე არსებული  საავტომობილო გზებისთვის ტექნიკური მარილის შესყიდვა</t>
  </si>
  <si>
    <t>30,11,-30.12.2021</t>
  </si>
  <si>
    <t>03 02</t>
  </si>
  <si>
    <t>მწვანე ნარგავების მოვლა-პატრონობა, განვითარება</t>
  </si>
  <si>
    <t>ქალაქ საგარეჯოს ცენტრალურ ნაწილში ახალი რეკრეაციული და გასართობი არეალის მოწყობა განკ.#1419 16.08.2021</t>
  </si>
  <si>
    <t>30,12,2021-31.03.2022</t>
  </si>
  <si>
    <t>157/1</t>
  </si>
  <si>
    <t>03 03</t>
  </si>
  <si>
    <t>კაპიტალური დაბანდებანი დასუფთავების სფეროში</t>
  </si>
  <si>
    <t>04 02</t>
  </si>
  <si>
    <t>სკოლამდელი დაწესებულებების რეაბილიტაცია, მშენებლობა</t>
  </si>
  <si>
    <t>სოფ.უდაბნოში სკოლამდელი აღზრდის დაწესებულების აღდგენითი სამუშაოები</t>
  </si>
  <si>
    <t>14,09,2021-16,11,2021</t>
  </si>
  <si>
    <t>110/4</t>
  </si>
  <si>
    <t>შპს მეგა 8</t>
  </si>
  <si>
    <t>სოფ. ყანდაურის საბავშვო ბაღის  სარეაბილიტაციო სამუშაოები განკ.N1266 26.07.2021</t>
  </si>
  <si>
    <t>09,11,2021-08,03,2022</t>
  </si>
  <si>
    <t>შპს სამშენებლო კომპანია ალფა</t>
  </si>
  <si>
    <t>17,01,-21.03.2022</t>
  </si>
  <si>
    <t>6/1</t>
  </si>
  <si>
    <t>შპს მეტალ +</t>
  </si>
  <si>
    <t>სოფ.გიორგიწმინდის საბავშვო ბაღის რეაბილიტაციის სამუშაოები</t>
  </si>
  <si>
    <t>31,08,2021-30,11,2021</t>
  </si>
  <si>
    <t>სოფ.პატარძეულის საბავშვო ბაღის რეაბილიტაციის სამუშაოები</t>
  </si>
  <si>
    <t>20,08,2021-19,11,2021</t>
  </si>
  <si>
    <t>99</t>
  </si>
  <si>
    <t>სოფ.კაკაბეთში სკოლამდელი აღზრდის დაწესებულებიდან დასაწყობებული ვარგისი  სამშენებლო მასალის გადასატანად სპეცტექნიკის დაქირავება</t>
  </si>
  <si>
    <t>15,02,-17.02.2022</t>
  </si>
  <si>
    <t>21/1</t>
  </si>
  <si>
    <t>ი.მ. გიორგი გაგნიაშვილი</t>
  </si>
  <si>
    <t>ს.გომბორის ს/ბაღის   აღსაზრდელთათვის  სამგზავრო სატრანსპორტო საშუალებათა  დაქირავების  მომს.</t>
  </si>
  <si>
    <t>25,01,-22.08.2022</t>
  </si>
  <si>
    <t>9</t>
  </si>
  <si>
    <t>ი/მ გიორგი ხუმარაშვილი</t>
  </si>
  <si>
    <t>ს.დიდი ჩაილურის სკოლამდელი აღზრდის დაწესებულების რეაბილიტაციის სამუშაოები</t>
  </si>
  <si>
    <t>14,09,2021-14,12,2021</t>
  </si>
  <si>
    <t>110/5</t>
  </si>
  <si>
    <t>შპს მეგა - 8</t>
  </si>
  <si>
    <t>11,11,2021-6.07.2022</t>
  </si>
  <si>
    <t>131</t>
  </si>
  <si>
    <t>შპს ,,მაგოილი"</t>
  </si>
  <si>
    <t xml:space="preserve">შპს ,,ნ და ლ’’, </t>
  </si>
  <si>
    <t>ს.კოჭბანის ს/ბაღის   აღსაზრდელთათვის  სამგზავრო სატრანსპორტო საშუალებათა  დაქირავების  მომს.</t>
  </si>
  <si>
    <t>25,01,2022-22.08.2022</t>
  </si>
  <si>
    <t>9/1</t>
  </si>
  <si>
    <t>ი.მ.ალექსი მამუკაშვილი</t>
  </si>
  <si>
    <t>ხაშმის საბავშვო ბაღის რეაბილიტაციის სამუშაოები</t>
  </si>
  <si>
    <t>1.11.2021-31.01.2022</t>
  </si>
  <si>
    <t>შ.პ.ს. არქიტრავი</t>
  </si>
  <si>
    <t xml:space="preserve"> საზედამხედველო მომსახურების გაწევა</t>
  </si>
  <si>
    <t>09,02,-31.12.2022</t>
  </si>
  <si>
    <t>17</t>
  </si>
  <si>
    <t>შპს ,,საინჟინრო მონიტორინგის ჯგუფი’’</t>
  </si>
  <si>
    <t>ნაშთი განკ.#2630 18.12.2019</t>
  </si>
  <si>
    <t>04 04</t>
  </si>
  <si>
    <t>საჯარო სკოლების მცირე სარეაბილიტაციო სამუშაოები და მოსწავლეთა ტრანსპორტირების უზრუნველყოფა</t>
  </si>
  <si>
    <t>ს.მ</t>
  </si>
  <si>
    <t>25,02,2021-31,12,2021</t>
  </si>
  <si>
    <t>შპს ბინუ</t>
  </si>
  <si>
    <t>სოფ.ნინოწმინდის საჯარო სკოლის სარეაბილიტაციო სამუშაოები განკ.N147 4.02.2021</t>
  </si>
  <si>
    <t>27.12.2021-28.02.2022</t>
  </si>
  <si>
    <t>154</t>
  </si>
  <si>
    <t>14,01,-18.01.2022</t>
  </si>
  <si>
    <t>5/1</t>
  </si>
  <si>
    <t>ნაშთი განკ.#27 9.01.2020</t>
  </si>
  <si>
    <t>ნაშთი განკ.#147 4.02.2021</t>
  </si>
  <si>
    <t>05 01 03</t>
  </si>
  <si>
    <t>სპორტული ობიექტების აღჭურვა, რეაბილიტაცია, მშენებლობა</t>
  </si>
  <si>
    <t>შემოსავალი ხელშეკრულების პირობების დარღვევის გამო დაკისრებული პირგასამტეხლოდან(ს/კ202456430 შ.პ.ს "ბეგი ჯორჯია"</t>
  </si>
  <si>
    <t>10,06,2021-07,10,2021</t>
  </si>
  <si>
    <t>64</t>
  </si>
  <si>
    <t>შპს ბეგი ჯორჯია</t>
  </si>
  <si>
    <t>2021 წ.გადახდილია 139.92102, 2022წ.ვალდ.202.32833</t>
  </si>
  <si>
    <t>სოფ.უდაბნოში სპორტული დარბაზის მშენებლობის სამუშაოები</t>
  </si>
  <si>
    <t>შემოსავალი ხელშეკრულების პირობების დარღვევის გამო დაკისრებული პირგასამტეხლოდან(ს/კ 202172978 შ.პ.ს "მაია")</t>
  </si>
  <si>
    <t>28,07,2021-29,09,2021</t>
  </si>
  <si>
    <t>88/2</t>
  </si>
  <si>
    <t>შპს მაია</t>
  </si>
  <si>
    <t>სოფელ შიბლიანში მინი სტადიონის მოწყობა</t>
  </si>
  <si>
    <t>2021 წ.გადახდილია 31.33798, 2022წ.ვალდ.50.683043</t>
  </si>
  <si>
    <t>ს.პატარძეულში არსებ. სპორტული დარბაზის სრულფასოვანი ფუნქციონირებისთვის 300გრძ.მ. ელსადენის შესყიდვა</t>
  </si>
  <si>
    <t>29/2</t>
  </si>
  <si>
    <t>შპს შპს  გეგა 2018</t>
  </si>
  <si>
    <t>შემოსავალი ხელშეკრულების პირობების დარღვევის გამო დაკისრებული პირგასამტეხლოდან (ს/კ 202172978 შ.პ.ს "მაია")</t>
  </si>
  <si>
    <t>21.05.2021-23.07.2021</t>
  </si>
  <si>
    <t>შპს შპს მაია</t>
  </si>
  <si>
    <t>ს.თულარში მინი სტადიონის მოწყობის სამუშაოები</t>
  </si>
  <si>
    <t>2021 წ.გადახდილია 27.96881, 2022წ.ვალდ.46.91399</t>
  </si>
  <si>
    <t>ს.გიორგიწმინდაში მდებარე სპორტული დარბაზის  დაზიანებული სახურავის რეაბილიტაცია-მოწყობის სამუშაოები</t>
  </si>
  <si>
    <t>საზედამხედველო მომსახურების გაწევა</t>
  </si>
  <si>
    <t>09,02,2022-31.12.2023</t>
  </si>
  <si>
    <t>55/4</t>
  </si>
  <si>
    <t>შ.პ.ს. მაია</t>
  </si>
  <si>
    <t>ხელშეკრულება შეწყვეტილია 2021 წ.გადახდილია 27.96881, 2022წ.ვალდ.46.91399</t>
  </si>
  <si>
    <t xml:space="preserve">ნაშთი განკ.#2630 18.12.2019 </t>
  </si>
  <si>
    <t xml:space="preserve">გომბორის საჭიდაო დარბაზის რეაბილიტაცია განკ.#2630 18.12.2019 </t>
  </si>
  <si>
    <t>06 01 02</t>
  </si>
  <si>
    <t>სოფლის ამბულატორიების ხელშეწყობა და ჯანდაცვის ობიექტების მშენებლობა-რეაბილიტაცია</t>
  </si>
  <si>
    <t>უდაბნოს ექიმის მომსახურება</t>
  </si>
  <si>
    <t>ნაშთი განკ.#554 15.03.2019</t>
  </si>
  <si>
    <t>სოფ.ნინოწმინდაში სასაფლაოსთან მდებარე გზის მოასფალტება</t>
  </si>
  <si>
    <t>ინფრასტრუქტურული პროექტების საპროექტო და სამშენებლო სამუშაოების საზედამხედველო  მომსახურება</t>
  </si>
  <si>
    <t>შპს საინჟინრო მონიტორინგის ჯგუფი</t>
  </si>
  <si>
    <t>შემოსავალი ხელშეკრულების პირობების დარღვევის გამო დაკისრებული პირგასამტეხლოდან(შპს "უნივერსალ სერვისი" ს/კ 443568569)</t>
  </si>
  <si>
    <t>შპს შპს  უნივერსალ სერვისი</t>
  </si>
  <si>
    <t>ერთიანი ანგარიში; სხვა შემოსულობები; საგარეჯო</t>
  </si>
  <si>
    <t>122</t>
  </si>
  <si>
    <t>ს/კაკაბეთში, ნინოწმინდაში, მარიამჯვარში, კურორტ კოდაზე წლის მილსადენების მოწყობის საპრ.სახარჯ.დოკუმენტაციის შედგენის მომსახურება</t>
  </si>
  <si>
    <t>ს.უდაბნოში ფეკალური მასისგან გადავსებული  საკანალიზაციო (ხუთი ჭა) სისტემის გაწმენდითი მომსახურების შესყიდვა</t>
  </si>
  <si>
    <t>ი/მ გიორგი ვარაზიშვილი</t>
  </si>
  <si>
    <t>49/2</t>
  </si>
  <si>
    <t>სოფ. ხაშმიდან ამავე სოფ. მდებარე ეკლესიამდე ელ. გადამცემი ხაზების სრულფასოვანი მუშაობისთვის ახალი ელ. აღრიცხვის კვანძის მოწყობის ხარჯი</t>
  </si>
  <si>
    <t>სს "ენერგო-პრო-ჯორჯია"</t>
  </si>
  <si>
    <t>წერილი #: 6640-21042022-00884; თარიღი: 21/04/2022</t>
  </si>
  <si>
    <t xml:space="preserve"> შპს ნ და ლ</t>
  </si>
  <si>
    <t>103/2</t>
  </si>
  <si>
    <t>ს.პატარძეულში მცხოვრებ სოციალურად დაუცველი მოქალაქის მ.დარცმელიას დაზიანებული საცხ.სახლის შეკეთებისთვის საჭირო სამშენებლო მასალების შესყიდვა</t>
  </si>
  <si>
    <t>40/1</t>
  </si>
  <si>
    <t>შპს ნ და ლ</t>
  </si>
  <si>
    <t xml:space="preserve"> შპს საინჟინრო მონიტორინგის ჯგუფი</t>
  </si>
  <si>
    <t>სოფელ ხაშმში მინი სტადიონის მოწყობის სამუშაოები</t>
  </si>
  <si>
    <t>88/3</t>
  </si>
  <si>
    <t>მუნიციპალიტეტის ტერიტორიაზე დაზიანებული შიდა გზების მოხრეშვისთვის საჭირო 100კუბ.მ. 10-20 ფრაქციის ქვიშა ღორღის შესყიდვა</t>
  </si>
  <si>
    <t>113/4</t>
  </si>
  <si>
    <t xml:space="preserve"> შპს სთოუნ ეიჯ დეველოპმენტ გრუპი</t>
  </si>
  <si>
    <t>შპს როვერი</t>
  </si>
  <si>
    <t xml:space="preserve"> ქ.საგარეჯოში მუზეუმის მიმდებარე ქუჩის მოასფალტების სამუშაოები</t>
  </si>
  <si>
    <t xml:space="preserve"> ქ.საგარეჯოში ვაჩნაძის ქუჩის მოასფალტების სამუშაოები</t>
  </si>
  <si>
    <t>წერილი #: 7301-06052022-59999; თარიღი: 06/05/2022</t>
  </si>
  <si>
    <t>წერილი #: 7334-06052022-05440; თარიღი: 06/05/2022</t>
  </si>
  <si>
    <t>წერილი #: 7913-18052022-77744; თარიღი: 18/05/2022</t>
  </si>
  <si>
    <t xml:space="preserve"> სს საქართველოს რკინიგზა</t>
  </si>
  <si>
    <t>ქ.საგარეჯოში კახეთის გზ.#19ა-ს ეზოში არსებული 7  საკანალიზაციო ჭის გაწმენდის მომსახურება</t>
  </si>
  <si>
    <t>65/1</t>
  </si>
  <si>
    <t>46/1</t>
  </si>
  <si>
    <t>ქ.საგარეჯოში მცხოვრებ ნ.ქურდოვანიძის დაზიანებული სახლის სახურავის შეღებვის  სამუშაოები</t>
  </si>
  <si>
    <t>46</t>
  </si>
  <si>
    <t>ი/მ თამარ ცანავა</t>
  </si>
  <si>
    <t>ქ.საგარეჯოში აღმაშენებლის ქ#15-შ მდებარე სათნოების სახლის რეაბილიტაციის სამუშაოები</t>
  </si>
  <si>
    <t>52</t>
  </si>
  <si>
    <t>შპს მათე 2014</t>
  </si>
  <si>
    <t>ქ.საგარეჯოში ერეკლე მეორეს ქუჩაზე სანიაღვრე არხებისა და ლითონის ცხაურების მოწყობის სამუშაოები</t>
  </si>
  <si>
    <t>შემოსავალი ხელშეკრულების პირობების დარღვევის გამო დაკისრებული პირგასამტეხლოდან(ს/კ 424613831 შ.პ.ს "ჯემინ ჯორჯია"</t>
  </si>
  <si>
    <t>72/1</t>
  </si>
  <si>
    <t>შპს ჯემინ ჯორჯია</t>
  </si>
  <si>
    <t xml:space="preserve"> შპს ხუროთმოძღვარი &lt;ე და მ&gt;</t>
  </si>
  <si>
    <t>ი/მ გია დუჩიძე</t>
  </si>
  <si>
    <t>43/1</t>
  </si>
  <si>
    <t>35</t>
  </si>
  <si>
    <t>კულტურის ობიექტების აღჭურვა, რეაბილიტაცია, მშენებლობა</t>
  </si>
  <si>
    <t>05 02 02</t>
  </si>
  <si>
    <t xml:space="preserve"> საგარეჯოში არსებული  კულტურის სახლის სველი  წერტილების  მოწყობა-რეაბილიტაცია</t>
  </si>
  <si>
    <t>შპს შპს ბოძკინტი</t>
  </si>
  <si>
    <t>61/1</t>
  </si>
  <si>
    <t>22,09,2021-31,12,2021</t>
  </si>
  <si>
    <t>21,01,2022-13.05.2022</t>
  </si>
  <si>
    <t>მუნიციპალიტეტის ადმინისტრაციულ ერთეულებში ქ.საგარეჯოსა და ს.დუზაგრამაში სხვადასხვა ობიექტების მოსახრეშად საჭირო ქვიშა-ღორღის შესყიდვა</t>
  </si>
  <si>
    <t>შპს დილა-95</t>
  </si>
  <si>
    <t>მუნიციპალიტეტის ტერიტორიაზე არსებული გზების ორმოული შეკეთების სამუშაოები</t>
  </si>
  <si>
    <t>შპს ,,გარდაბნის  საგზაო სამმართველო"</t>
  </si>
  <si>
    <t>შპს მილენიუმ ბილდერს გრუპ</t>
  </si>
  <si>
    <t>28.02.2020-27.06.2020</t>
  </si>
  <si>
    <t>31.01.2020-30.05.2020</t>
  </si>
  <si>
    <t>77/1</t>
  </si>
  <si>
    <t>77/2</t>
  </si>
  <si>
    <t>77/3</t>
  </si>
  <si>
    <t>შპს როუდ სოლუშენს</t>
  </si>
  <si>
    <t>06.05.2020-03.09.2020</t>
  </si>
  <si>
    <t>65/2</t>
  </si>
  <si>
    <t>შემოსავალი ხელშეკრულების პირობების დარღვევის გამო დაკისრებული პირგასამტეხლოდან  (სოფ. კაზლარის წყალმომარაგების სისტემის მოწყობა)(ს/კ 204981957 შ.პ.ს "კაპიტელი") განკ N2630</t>
  </si>
  <si>
    <t>შემოსავალი ხელშეკრულების პირობების დარღვევის გამო დაკისრებული პირგასამტეხლო (ქ. საგარეჯოში, კახეთის გზატკეცილის N1 შესახვევის მოასფალტება ე.წ. ,,სოკარის ქუჩა") შპს როუ სოლუშენს განკ.#2630 18.12.2019</t>
  </si>
  <si>
    <t>შემოსავალი ხელშეკრულების პირობების დარღვევის გამო დაკისრებული პირგასამტეხლოდან (ქ.საგარეჯოში, ჩოლოყაშვილის ქუჩის მოასფალტება )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</si>
  <si>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პირგასამტეხლოდან *(ქ.საგარეჯოში სათავის ქუჩის მოასფალტება და სანიაღვრე არხების მოწყობა)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</si>
  <si>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(ქ.საგარეჯოში , გიორგი ბრწყინვალეს ქუჩის მოასფალტება)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</si>
  <si>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(ქ.საგარეჯოში, გურამიშვილის ქუჩის დარჩენილი მონაკვეთის მოასფალტება)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</si>
  <si>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(ს. პატარძეულში, მონასტერთან მისასვლელი გზის მოასფალტება)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</si>
  <si>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(ს.პატარძეულში,ე.წ. ,,ონაანთ" უბნის გზის მოასფალტება)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</si>
  <si>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 გიორგიწმინდაში, სასაფლაოს გზაზე რკ/ბეტონის საფარის მოწყობა)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</si>
  <si>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 პატარა ჩაილურში ცენტრალური გზის მოასფალტება)  შპს როუდ სოლუშენს განკ.#2630 18.12.2019</t>
  </si>
  <si>
    <t>21,01,2022-31.12.2022</t>
  </si>
  <si>
    <t>14.02.2022-31.08.2022</t>
  </si>
  <si>
    <t>72</t>
  </si>
  <si>
    <t>68-2</t>
  </si>
  <si>
    <t>66/1</t>
  </si>
  <si>
    <t>ქ.საგარეჯოში  ე.წ.მასწავლებელთა მრავალბინიანი საცხოვრებელი კორპუსის შენობის სახურავის რეაბილიტაციის სამუშაოები</t>
  </si>
  <si>
    <t>81/1</t>
  </si>
  <si>
    <t>71</t>
  </si>
  <si>
    <t>22</t>
  </si>
  <si>
    <t>ს.თოხლიაურის საბავშვო ბაღის შენობის რეაბილიტაცია</t>
  </si>
  <si>
    <t xml:space="preserve"> ამხანაგობა "ველი+"</t>
  </si>
  <si>
    <t>110/3</t>
  </si>
  <si>
    <t>შემოსავალი ხელშეკრულების პირობების დარღვევის გამო დაკისრებული პირგასამტეხლოდან(ამხანაგობა "ველი+" ს/კ 205439836)</t>
  </si>
  <si>
    <t>ქ.საგარეჯოს #1 და ს.პატარა ჩაილურის სკოლამდელი აღზრდის დაწესებულებების სამზარეულოებისა და სასაწყობე ოთახების რეაბილიტაციის სამუშაოები</t>
  </si>
  <si>
    <t>65</t>
  </si>
  <si>
    <t>შპს ბურჯი 2018</t>
  </si>
  <si>
    <t>სსიპ - ლევან სამხარაულის სახელობის სასამართლო ექსპერტიზის ეროვნული ბიუროს მიერ გაწეული მომსახურების საფასურის.(ხაშმის ს/ბაღის შენობა-ნაგებობის ტექნიკური მდგომარეობის დადგენა)</t>
  </si>
  <si>
    <t>5/4</t>
  </si>
  <si>
    <t>25,02,2022-31.12,2022-</t>
  </si>
  <si>
    <t>73</t>
  </si>
  <si>
    <t>76</t>
  </si>
  <si>
    <t>80/1</t>
  </si>
  <si>
    <t>85</t>
  </si>
  <si>
    <t>68</t>
  </si>
  <si>
    <t>შპს ,,გიო და კომპანია"</t>
  </si>
  <si>
    <t>შპს ბურჯი 2008</t>
  </si>
  <si>
    <t>72/3</t>
  </si>
  <si>
    <t>72/2</t>
  </si>
  <si>
    <t>72/4</t>
  </si>
  <si>
    <t>67/1</t>
  </si>
  <si>
    <t>85/1</t>
  </si>
  <si>
    <t>01,03,2022-15.03,2022</t>
  </si>
  <si>
    <t>17,01,2022-21.01.2022</t>
  </si>
  <si>
    <t>ქ. საგარეჯოში კოსტავას ქუჩა #15-ში მდებარე ჭაბურღილის რეაბილიტაციის სამუშაოების შესყიდვა</t>
  </si>
  <si>
    <t>20,05,-19.08.2022</t>
  </si>
  <si>
    <t>21,03,-30.05.2022</t>
  </si>
  <si>
    <t>22,03,-31.12.2022</t>
  </si>
  <si>
    <t>03,05,-2.08.2022</t>
  </si>
  <si>
    <t>2021 წ.გადახდ.190.37841, ადგ.9.51892, სახ.180.85949, 2022წ.ვალდ.94.511</t>
  </si>
  <si>
    <t>შპს ენ-დი როუდი</t>
  </si>
  <si>
    <t>ს.ს.კავკასავტომაგისტრალი</t>
  </si>
  <si>
    <t>2022 წლის ვალდ.238.500</t>
  </si>
  <si>
    <t>07,06,-6.09.2022</t>
  </si>
  <si>
    <t>31,08,-31.12.2021</t>
  </si>
  <si>
    <t>შ.პ.ს კავკასავტომაგისტრალი</t>
  </si>
  <si>
    <t>შ.პ.ს. ,,კავკაზ როუდი"</t>
  </si>
  <si>
    <t>განკ#2630 18.12.2019-1.6; #2159 11.10.2019-0.39;</t>
  </si>
  <si>
    <t xml:space="preserve">#75  17.01.2022 განკ. </t>
  </si>
  <si>
    <t>30,05,-4.07.2022</t>
  </si>
  <si>
    <t>შ.პ.ს.ბურღი</t>
  </si>
  <si>
    <t>მუნიციპალიტეტში 2022 წლის 28 მარტს მომხდარი სტიქიის შედეგად დაზიანებული კერძო საცხოვრებელი  სახლის სახურავების რეაბილიტაციის საპროექტო-სახარჯთაღრიცხვო  დოკუმენტაციის  შედგენა #604 5.04.2022 განკ.</t>
  </si>
  <si>
    <t>ნაშთი განკ.#1266 16.07.2021</t>
  </si>
  <si>
    <t>კაკაბეთის #1 სკოლამდელი დაწესებულების მშენებლობა განკ.#75 17.01.2022-510.983; #2685 31.12.2020-900;</t>
  </si>
  <si>
    <t>განკ#604 5.04.2022</t>
  </si>
  <si>
    <t>ს.მანავის საჯარო სკოლის სამსართულიან კორპუსში გათბობის სისტემის მოწყობის II ეტაპი განკ N51 14.01.2022</t>
  </si>
  <si>
    <t>შ.პ.ს საინჟინრო მონიტორინგი</t>
  </si>
  <si>
    <t>მერია</t>
  </si>
  <si>
    <t>01 01 02</t>
  </si>
  <si>
    <t>შ.პ.ს ხუროთმოძღვარი ე და მ</t>
  </si>
  <si>
    <t>საპროექტო მომსახურება განკ.#604 5.04.2022</t>
  </si>
  <si>
    <t>25,05,2022-31.01.2023</t>
  </si>
  <si>
    <t>15,11,2021-30.05.2022</t>
  </si>
  <si>
    <t>03,06,-5.08.2021</t>
  </si>
  <si>
    <t>27,02,2020-27.02.2021</t>
  </si>
  <si>
    <t>21,04,-24.08.2022</t>
  </si>
  <si>
    <t>13,01,-30.03.2022</t>
  </si>
  <si>
    <t>14,04,-30.04.2022</t>
  </si>
  <si>
    <t>16,05,-19.05.2022</t>
  </si>
  <si>
    <t>12,10,2021-25.02.2022</t>
  </si>
  <si>
    <t>31,08,2021-31.12.2021</t>
  </si>
  <si>
    <t>29,03,-4.04.2022</t>
  </si>
  <si>
    <t>07,04,-30.06.2022</t>
  </si>
  <si>
    <t>07,04,-21.04.2022</t>
  </si>
  <si>
    <t>20,04,-30.07.2022</t>
  </si>
  <si>
    <t>23,05,-26.05.2022</t>
  </si>
  <si>
    <t>19,05,-25.05.2022</t>
  </si>
  <si>
    <t>14,06,-31.12.2022</t>
  </si>
  <si>
    <t>საზედამხედველო მომსახურება</t>
  </si>
  <si>
    <t>შ.პ.ს. საინჟინრო მონიტორინგის ჯგუფი</t>
  </si>
  <si>
    <t>25,05,2022-31.03.2023</t>
  </si>
  <si>
    <t>ი.მ.ლერი ვერძაძე</t>
  </si>
  <si>
    <t>საჭირო საპროექტო-სახარჯთაღრიცხვო დოკუმენტაციის შედგენის მომსახურების შესყიდვა.</t>
  </si>
  <si>
    <t>22,06,-13.09.2022</t>
  </si>
  <si>
    <t>შპს ნიუ სითი</t>
  </si>
  <si>
    <t>ი/მ თორნიკე ფართლაძე</t>
  </si>
  <si>
    <t>17,02,2022-5.02.2023</t>
  </si>
  <si>
    <t>საგარეჯოს მუნიციპალიტეტის ტერიტორიტორიაზე მდებარე უძრავი ქონების საკადასტრო აზომვითი-აგეგმვითი ნახაზების შედგენის მომსახურების სახელმწიფო შესყიდვა</t>
  </si>
  <si>
    <t>30,05,-1.08.2022</t>
  </si>
  <si>
    <t>ქ. საგარეჯოში შ. რუსთაველის ქუჩა #178-ში მდებარე შენობის ფასადის რეაბილიტაციის სამუშაოების შესყიდვა</t>
  </si>
  <si>
    <t>25,06,-31.12.2021</t>
  </si>
  <si>
    <t>სოფელ შიბლიანის, სოფელ პატარა ჩაილურის, სოფელ ვერხვიანისა და სოფელ პატარძეულის მეორე სკოლამდელი აღზრდის დაწესებულებებში გათბობის სამუშაოების შესყიდვა.</t>
  </si>
  <si>
    <t>შ.პ.ს. ციტადელი</t>
  </si>
  <si>
    <t>31,05,-1.09.2022</t>
  </si>
  <si>
    <t>სოფელ პატარძეულში ს/კ:55.14.51.022 მიწის ნაკვეთზე მდებარე შენობის ფასადის რეაბილიტაციის სამუშაოების შესყიდვა.</t>
  </si>
  <si>
    <t>შპს მანგორი</t>
  </si>
  <si>
    <t>06,06,-8.08.2022</t>
  </si>
  <si>
    <t>13,06,-3.10.2022</t>
  </si>
  <si>
    <t>შპს არქიტრავი</t>
  </si>
  <si>
    <t>სოფელ მზისგულის სკოლამდელი აღზრდის დაწესებულების რეაბილიტაციის სამუშაოების შესყიდვა.</t>
  </si>
  <si>
    <t>23,05,-20.06.2022</t>
  </si>
  <si>
    <t>13,06,-31.08.2022</t>
  </si>
  <si>
    <t>სოფელ გიორგიწმინდაში არსებული მინი სპორტული მოედნის რეკონსტრუქციის სამუშაოების შესყიდვა.</t>
  </si>
  <si>
    <t>შპს ფილ ვეი გრუპ</t>
  </si>
  <si>
    <t>სოფელ ნინოწმინდაში არსებული მინი სპორტული მოედნის რეკონსტრუქციის სამუშაოების შესყიდვა.</t>
  </si>
  <si>
    <t>შ.პ.ს. მზეხი</t>
  </si>
  <si>
    <t>02,06,-31.10.2022</t>
  </si>
  <si>
    <t>სოფელ მანავში (ბურდიანში) არსებული მინი სპორტული მოედნის რეკონსტრუქციის სამუშაოების შესყიდვა.</t>
  </si>
  <si>
    <t>სოფელ მანავში (ზემო მანავში) არსებული მინი სპორტული მოედნის რეკონსტრუქციის სამუშაოების შესყიდვა.</t>
  </si>
  <si>
    <t> "ფერმო ფენსი"</t>
  </si>
  <si>
    <t>სოფელ ბადიაურში და ყანდაურაში მინი მოედნის რეაბილიტაციის ხელოვნური საფარის მოწყობი სამუშაოების შესყიდვა.</t>
  </si>
  <si>
    <t>სოფ.მანავში(ტურის უბანში) არსებული მინი სპორტული მოედანის რეკონსტრუქციის სამუშაოები</t>
  </si>
  <si>
    <t>შ.პ.ს. ფერმო ფენსი</t>
  </si>
  <si>
    <t>სოფელ ხაშმში მწერალ რევაზ ინანიშვილის სახლ-მუზეუმის რეკონსტრუქცია-აღდგენის სამუშაოების შესყიდვა.</t>
  </si>
  <si>
    <t>20,05,-31.12.2022</t>
  </si>
  <si>
    <t>ი.მ.დავითი კავთუაშვილი</t>
  </si>
  <si>
    <t xml:space="preserve"> შპს ჯეოვოის ტრეიდინგი</t>
  </si>
  <si>
    <t>22,06,-31.10.2022</t>
  </si>
  <si>
    <t>სასცენო განათების ინვენტარის შესყიდვა თანმდევი ინსტალაციით.</t>
  </si>
  <si>
    <t>ქ.საგარეჯოში ცენტრალური გზის მიმდებარედ წყალმომარაგების ჭაბურღილისა და სამარაგო რეზერვუარის მოწყობის სამუშაოები</t>
  </si>
  <si>
    <t xml:space="preserve"> სოფ. მზისგულში არსებული ჭაბურღილის სრულფასოვანი ფუნქციონირებისათვის ელ.აღრიცხვის  კვანძის 10კვტ-დან 30 კვტ-მდე გაზრდის ხარჯი</t>
  </si>
  <si>
    <t>მუნიციპალიტეტის ბალანსზე არსებული ვიდეოსათვალთვალო კამერების მოვლა-პატრონობის მომსახურების შესყიდვა</t>
  </si>
  <si>
    <t>სოფელ გიორგიწმინდაში ჭაბურღილების, შემკრები რეზერვუარების და სატუმბი სადგურის მოწყობის სამუშაოები განკ#2685, 31.12.2020-69.14271; #75 17.01.-225.70006</t>
  </si>
  <si>
    <t>საგარეჯოს მუნიციპალიტეტის ქუჩის გარე განათების ტექნიკური მომსახურების შესყიდვა</t>
  </si>
  <si>
    <t>ქ.საგარეჯოში ერეკლე მეორის ქ.N74-ში მდებარე მრავ. საცხ სახლის სახურავის სარეაბილიტაციო  სამუშაოების  სახარჯთაღრიცხვო  დოკუმენტაციის  შედგენის  მომსახურება</t>
  </si>
  <si>
    <t>ქ.საგარეჯოში მცხოვრები, მოქ. მაია მარტიაშვილის სახლის სახურავის შეცვლა განკ. N330 11.03.2021</t>
  </si>
  <si>
    <t>2021წ.გადახდ134.84820, ადგ6.8032, სახ128.045, 2022წ.ვალდ.614.59342,ადგ102.71042, სახ.511.883</t>
  </si>
  <si>
    <t>საბავშო ბაღების რეაბილიტაცისათვის საპროექტო სახარჯთაღრიცხვო დოკუმენტაციის შედგენის მომსახურება</t>
  </si>
  <si>
    <t xml:space="preserve"> სტიქიის შედეგად   დაზიანებული თოხლიაურის ბაღის სახურავის  რეაბილიტაციის  საპროექტო-სახარჯთაღრიცხვო  დოკუმენტაციის  შედგენა განკ. N604 5.04.2022</t>
  </si>
  <si>
    <t> სოფელ მანავში სკოლამდელი აღსაზრდელების ტურის უბნიდან და ზემო უბნიდან (ზემო მანავიდან) მანავის N1 საბავშვო ბაღში ტარნსპორტირების მომსახურების შესყიდვა.</t>
  </si>
  <si>
    <t>01,04,-30.06.2022</t>
  </si>
  <si>
    <t>შემოსავალი ხელშეკრულების პირობების დარღვევის გამო დაკისრებული პირგასამტეხლოდან(შ.პ.ს "რაზმაძე და კომპანია"   ს/კ 231251383)ქ. საგარეჯოს #2 სკოლამდელი აღზრდის დაწესებულების რეაბილიტაციის სამუშაოები</t>
  </si>
  <si>
    <t xml:space="preserve">2021 წელს გადარიცხულია 57.185 ლ, </t>
  </si>
  <si>
    <t>15.03.2021-14.05.2021</t>
  </si>
  <si>
    <t>14,09,-16.11.2021</t>
  </si>
  <si>
    <t xml:space="preserve">2021 წელს გადარიცხულია 11.091 ლ, </t>
  </si>
  <si>
    <t xml:space="preserve">სსიპ - ლევან სამხარაულის სახელობის სასამართლო </t>
  </si>
  <si>
    <t>16,05,-30.09.2022</t>
  </si>
  <si>
    <t>25,01,-31.12.2021</t>
  </si>
  <si>
    <t xml:space="preserve"> სოფელ ნინოწმინდაში მინი სტადონის მოწყობის სამუშაოების შესყიდვა.</t>
  </si>
  <si>
    <t xml:space="preserve"> ინფრასტრუქტურული პროექტების საპროექტო და სამშენებლო სამუშაოების საზედამხედველო მომსახურება</t>
  </si>
  <si>
    <t>06,05-31.07,2022</t>
  </si>
  <si>
    <t xml:space="preserve"> ააიპ #105 კომპლექსური  სასპორტო  სკოლის საცურაო  აუზების შეკეთების  სამუშაოები</t>
  </si>
  <si>
    <t xml:space="preserve">ერთიანი ანგარიში; </t>
  </si>
  <si>
    <t xml:space="preserve"> სოფელ უჯარმაში ხევზე გადასასვლელი ხიდის მოწყობის სამუშაოები #330 11.03.2021</t>
  </si>
  <si>
    <t xml:space="preserve"> ქალაქ საგარეჯოში ფალიაშვილის ქუჩის მოასფალტების სამუშაოები განკ#2685, 31.12.2020-9.14051;  N75 17.01.2022-80.64617</t>
  </si>
  <si>
    <t>მარიამჯვრის სახელმწიფო ნაკრძალის ხელმ გაზრდა მისასვლელი  გზის რეაბილიტაცია  და შეს.  #1419 16.08.2021ინფრასტრუქტურის  მოწყობა</t>
  </si>
  <si>
    <t>შპს როუდ სოლუშენს-ერთიანი ანგარიში</t>
  </si>
  <si>
    <t xml:space="preserve"> ქ. საგარეჯოში, კახეთის გზატკეცილი N7-ში მდებარე კორპუსების ეზოს მოასფალტება - კეთილმოწყობისა და ლესელიძისა და თამარ მეფის ქუჩაზე კორპუსების ეზოების მოასფალტების სამუშაოების შესყიდვა</t>
  </si>
  <si>
    <t xml:space="preserve"> ქ. საგარეჯოში ქვლივიძის ქუჩის მოასფალტების სამუშაოების შესყიდვა  #75 17.01.2022</t>
  </si>
  <si>
    <t xml:space="preserve"> ქ. საგარეჯოში მე-11, მე-13 და მე-14 ქუჩების მოასფალტების სამუშაოების შესყიდვა.</t>
  </si>
  <si>
    <t xml:space="preserve"> სოფელ კაკაბეთში მეორე სკოლამდელი აღზრდის დაწესებულებასთან მისასვლელი ქუჩის მოასფალტების სამუშაოების შესყიდვა.</t>
  </si>
  <si>
    <t xml:space="preserve"> ქ. საგარეჯოში წიფლისხევის ქუჩის მოასფალტების სამუშაოების შესყიდვა</t>
  </si>
  <si>
    <t xml:space="preserve">სხვადასხვა სახის ინფრასტრუქტურის სამშენებლო -სარეაბილიტაციო სამუშაოებისათვის საჭირო საპროექტო-სახარჯთაღრიცხვო დოკუმენტაციის მომსახურება </t>
  </si>
  <si>
    <t>ერთიანი ანგარიში</t>
  </si>
  <si>
    <t>სოფ. შიბლიანში არსებული ჭაბურღილის ფუნქციონირებისათვის ახალი ელ. აღრიცხვის კვანძის მოწყობის ხარჯი</t>
  </si>
  <si>
    <t>გიორგიწმინდაში,რუსთაველისქ# 178  საცხოვრებელი სახლის  რეაბილიტაციის საპროექტო- სახარჯთაღრიცხვო  დოკუმენტების  შედგენის  მომსახურება</t>
  </si>
  <si>
    <t xml:space="preserve"> სხვადასხვა სახის ინფრასტრუქტურის სამშენებლო-სარეაბილიტაციო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მომსახურების შესყიდვა.</t>
  </si>
  <si>
    <t xml:space="preserve">საგარეჯოს მუნიციპალიტეტის სოფლებსა (სოფელ გიორგიწმინდის ცენტრალური ქუჩებიდან, სოფელ ნინოწმინდის ცენტრალური ქუჩებიდან, სოფელ წყაროსთავის ცენტრალური ქუჩებიდან, სოფელ პატარძეულის ცენტრალური ქუჩებიდან, სოფელ თოხლიაურის ცენტრალური ქუჩებიდან, სოფელ მანავის ცენტრალური ქუჩებიდან, სოფელ ხაშმიდან სოფელ შიბლიანამდე ქ. საგარეჯოსა და სოფლების გადასახვევების და მიმდებარე ტერიტორიებიდან საყოფაცხოვრებო ნარჩენების შეგროვება-გატანა (საგარეჯოს ნაგავსაყრელზე)) და ქ. საგარეჯოს ქუჩებში მუნიციპალიტეტის მიერ განთავსებული ნაგავშემკრები კონტეინერებიდან საყოფაცხოვრებო ნარჩენების გატანა – მომსახურების სახელმწიფო შესყიდვა </t>
  </si>
  <si>
    <t>სოფ.გიორგიწმინდის სპორტული დარბაზის დაზიანებული სახურავის რეაბილიტაციის სამშ. საპროექტო სახარჯ. დოკუმ. შედგ. ღირებულება</t>
  </si>
  <si>
    <t>ს/ მანავში სპორტული მოედნის საპროექტო სახარჯთაღრიცხვო დოკუმენტაციის შედგენის მომსახურება</t>
  </si>
  <si>
    <t>საჯარო სკოლების მოსწავლეთა სატრანსპორტო მომსახურების სახელმწიფო შესყიდვა
 განკ N51 14.01.2022</t>
  </si>
  <si>
    <t>საჯარო სკოლების მოსწავლეთა სატრანსპორტო მომსახურების სახელმწიფო შესყიდვა
მთავრ. განკ 51 14.01.2022</t>
  </si>
  <si>
    <t>2021 წელს გადახდილია 21.33229ლ, ხელშეკრ.შეწყვეტილია შეთანხმების ოქმი#2 31.12.2021</t>
  </si>
  <si>
    <t>2020-2021 წ.გადახდ. 574.64349, მ.შ. ადგ.28.73227ლ, სახ.545.91122ლ</t>
  </si>
  <si>
    <t xml:space="preserve">2021 წ.გადახდ.7.99145ლ </t>
  </si>
  <si>
    <t xml:space="preserve"> სოფ.წყაროსთავის სკოლამდელი  აღზრდის  დაწესებ. გაფართოვების (ორი ოთახის მიშენება) სამუშაოები</t>
  </si>
  <si>
    <t xml:space="preserve"> ლარში</t>
  </si>
  <si>
    <t>საგარეჯოს მუნიციპაალიტეტის 2022 წლის ბიუჯეტის სამი კვარტლით   გათვალისწინებული ინფრასტრუქტურულ პროგრამაში გათვალისწინებული პროცედურების შესახებ</t>
  </si>
  <si>
    <t>ს.გომბორში სასაფლაოს გზის მოხრეშვა-მოსწორებისთვის ღორღის შესყიდვა</t>
  </si>
  <si>
    <t>23.06.2022-</t>
  </si>
  <si>
    <t>87/3</t>
  </si>
  <si>
    <t>შპს თეგეტა ქოსთრაქშენ ექვიფმენტ</t>
  </si>
  <si>
    <t xml:space="preserve"> ქ.საგარეჯოში 'გაღმა უბნის"სასაფლაოს გზაზე რკინა-ბეტონის საფარის მოწყობის სამუშაოები</t>
  </si>
  <si>
    <t>61</t>
  </si>
  <si>
    <t>შემოსავალი ხელშეკრულების პირობების დარღვევის გამო დაკისრებული პირგასამტეხლოდან (ქ.საგარეჯოში, ჯაფარიძის ქუჩის მოასფალტება )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</si>
  <si>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პირგასამტეხლოდან (ქ.საგარეჯოში, ქუჩიშვილის ქუჩის მოასფალტება )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</si>
  <si>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პირგასამტეხლოდან (ქ.საგარეჯოში, განთიადის და გორის  ქუჩების მოასფალტება )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</si>
  <si>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პირგასამტეხლოდან (ქ.საგარეჯოში, ვაჟა-ფშაველას ქუჩის მოასფალტება ) შპს როუდ სოლუშენს განკ.#2630 18.12.2019</t>
  </si>
  <si>
    <t>17/2</t>
  </si>
  <si>
    <t>ქ.საგარეჯოში წყლის სათავესთან მისასვლელი გზის მოასფალტება</t>
  </si>
  <si>
    <t>89/1</t>
  </si>
  <si>
    <t>ქ.საგარეჯოში კახეთის ქუჩის მოასფალტების სამუშაოები</t>
  </si>
  <si>
    <t>87/5</t>
  </si>
  <si>
    <t>შპს კომპანია ელ ეს ჯორჯია</t>
  </si>
  <si>
    <t>ქ.საგარეჯოში ე. ნინოშვილის ქუჩის მოასფალტების სამუშაოები</t>
  </si>
  <si>
    <t>10/2</t>
  </si>
  <si>
    <t>ქ.საგარეჯოში ცხვედაძის ქუჩის (მხარეთმცოდნეობის მუზეუმის ზემოთ) მოასფალტების სამუშაოები</t>
  </si>
  <si>
    <t>89</t>
  </si>
  <si>
    <t>ქ.საგარეჯოში  მ. კოსტავას ქუჩაზე ტროტუარების მოწყობის სამუშაოები</t>
  </si>
  <si>
    <t>89/2</t>
  </si>
  <si>
    <t>შემოსავალი ხელშეკრულების პირობების დარღვევის გამო დაკისრებული პირგასამტეხლოდან (ხ. N36 მ. ქვლივიძის ქუჩის მოასფალტება) N75 განკ</t>
  </si>
  <si>
    <t>ქ.საგარეჯოში ფანოზიაანთ სასაფლაოსთან მისასვლელი გზის მოასფალტება</t>
  </si>
  <si>
    <t>92/3</t>
  </si>
  <si>
    <t>სოფ. გიორგიწმინდის ჭაბურღილის და შემკრ. რეზერვუარის სრულფასოვანი ფუნქციონირებისათვის  მაღალი ძაბვის აღრიცხვის კვანძის მოწყობის ხარჯი</t>
  </si>
  <si>
    <t>წერილი #: 11177-08072022-09349; თარიღი: 08/07/2022</t>
  </si>
  <si>
    <t>წერილი #: 11432-13072022-98054; თარიღი: 13/07/2022</t>
  </si>
  <si>
    <t>მუნიციპალიტეტის  ტერიტორიაზე  საკანალიზაციო სისტემის ქსელის გაწმენდითი მომსახურების შესყიდვა</t>
  </si>
  <si>
    <t>87/2</t>
  </si>
  <si>
    <t xml:space="preserve"> შპს ბილდინგ-დეველოპერ</t>
  </si>
  <si>
    <t>93/1</t>
  </si>
  <si>
    <t xml:space="preserve"> სოფ. მარიამჯვარში სატუმბი სადგურის,რეზერვუარის  და მაგისტრალური  მილსადენის  მოწყობის  სამუშაოები</t>
  </si>
  <si>
    <t>99/1</t>
  </si>
  <si>
    <t>შპს თერგი</t>
  </si>
  <si>
    <t>98</t>
  </si>
  <si>
    <t>ქ.საგარეჯოში კოსტავას ქ#15-ში მდებარე საცხ.კორპუსთან სასმელი წყლის ჭაბურღილის მოწყობის სამუშაოები</t>
  </si>
  <si>
    <t>97</t>
  </si>
  <si>
    <t>ს.დუზაგრამაში დაზიანებული სასმელი წყლის  ტუმბოს ძრავის მიმდინარე შეკეთება</t>
  </si>
  <si>
    <t>104/4</t>
  </si>
  <si>
    <t>შპს ანგი-56</t>
  </si>
  <si>
    <t>ს.ყანდაურის მოსახლეობის სასმ.წყლით უზრუნველსაყოფად სამი ცალი 5კუბ.მ. ტევადობის წყლის რეზერვუარის შესყიდვა</t>
  </si>
  <si>
    <t>104/5</t>
  </si>
  <si>
    <t>მუნიციპალიტეტის მოსახლეობისათვის სასმელი წყლის რეგულარულად მიწოდების უზრუნველსაყოფად სატვირთო ავტომობილის და მისი მძღოლის მომსახურების შესყიდვა</t>
  </si>
  <si>
    <t>87</t>
  </si>
  <si>
    <t>ი/მ/ სანდრო კავთუაშვილი</t>
  </si>
  <si>
    <t>92/2</t>
  </si>
  <si>
    <t>საგ. მუნიც სოფ მანავში გარეგანათების 2 ცალი ახალი ელ. აღრიცხვის კვანძის მოწყობის ხარჯი</t>
  </si>
  <si>
    <t>საგ. მუნიც სოფ თოხლიაურში გარეგანათების 2 ცალი ახალი ელ. აღრიცხვის კვანძის მოწყობის ხარჯი</t>
  </si>
  <si>
    <t>წერილი #: 11377-12072022-68410; თარიღი: 12/07/2022</t>
  </si>
  <si>
    <t>სოფ.დუზაგრამაში და სოფ.ვერხვიანის გარე განათების  დასრულებისათვის 500 გრძ.მ.ელ სადენის 2*18მმ  შეძენა</t>
  </si>
  <si>
    <t>99/3</t>
  </si>
  <si>
    <t>90</t>
  </si>
  <si>
    <t>105/4</t>
  </si>
  <si>
    <t xml:space="preserve"> შპს ნიუ სითი</t>
  </si>
  <si>
    <t>105/3</t>
  </si>
  <si>
    <t>99/2</t>
  </si>
  <si>
    <t>შპს ეგო</t>
  </si>
  <si>
    <t>სსიპ - ლევან სამხარაულის სახელობის სასამართლო ექსპერტიზის ეროვნული ბიუროს მიერ გაწეული მომსახურების საფასური</t>
  </si>
  <si>
    <t>სსიპ - ლევან სამხარაულის სახელობის სასამართლო ექსპერტიზის ეროვნული ბიურო</t>
  </si>
  <si>
    <t>ქ.საგარეჯოში შიდა საავტომობილო გზებისთვის 21 მეტრი ლითონის ცხაურის შესყიდვა</t>
  </si>
  <si>
    <t>102</t>
  </si>
  <si>
    <t>შპს რ.დ.</t>
  </si>
  <si>
    <t>82/4</t>
  </si>
  <si>
    <t>82/5</t>
  </si>
  <si>
    <t>104/6</t>
  </si>
  <si>
    <t>შპს ევროტექნიკ</t>
  </si>
  <si>
    <t>მუნიციპალიტეტის ტერიტორიაზე  რამდენიმე ლოკაციაზე განსათავსებლად მცირეფასიანი 7 ცალი საინფორმაციო ბანერის "ნუ დააბინძურებ შენს სამშობლოს"შესყიდვა</t>
  </si>
  <si>
    <t>86</t>
  </si>
  <si>
    <t>შპს ცმლ +</t>
  </si>
  <si>
    <t>102/1</t>
  </si>
  <si>
    <t>შპს ევროპა</t>
  </si>
  <si>
    <t>ინფრასტრუქტრუქტურული პროექტების  საპროექტო და სამშენებლო  სამუშაოების  საზედამხედველო  მომსახურება</t>
  </si>
  <si>
    <t>27.02.2020-</t>
  </si>
  <si>
    <t>ქ.საგარეჯოში ს/კ 55.12.52.126 მიწის ნაკვეთზე ბაღის ეზოს კეთილმოწყობის სამუშაოები</t>
  </si>
  <si>
    <t>95</t>
  </si>
  <si>
    <t>საგ.მუნიც სოფ. ნინოწმინდაში არსებულისპორტდარბაზისთვის სამფაზიანი ელ.აღრიცხვის კვანძის მოწყობის ხარჯი</t>
  </si>
  <si>
    <t>29,04,2022-31.08.2022</t>
  </si>
  <si>
    <t>შემოსავალი ხელშეკრულების პირობების დარღვევის გამო დაკისრებული პირგასამტეხლოდან(ს/კ 406171217 შ.პ.ს "ეპიურა")</t>
  </si>
  <si>
    <t>21,06.2022-31.12.2022</t>
  </si>
  <si>
    <t>30,05,2022-1.08.2022-</t>
  </si>
  <si>
    <t>07,04,2022-30.06.2022</t>
  </si>
  <si>
    <t>24,05,2022-30.05.2022</t>
  </si>
  <si>
    <t>07,06.2022-9.08.2022</t>
  </si>
  <si>
    <t>92/5</t>
  </si>
  <si>
    <t>ქ. საგარეჯოში  ჭანტურიას ქუჩის მოასფალტების სამუშაოები მთ. განკ. N75</t>
  </si>
  <si>
    <t>შემოსავალი ხელშეკრულების პირობების დარღვევის გამო დაკისრებული პირგასამტეხლოდან სს ,,კავკასავტომაგისტრალი" განკ.N75</t>
  </si>
  <si>
    <t>30/1</t>
  </si>
  <si>
    <t>17/1</t>
  </si>
  <si>
    <t>07,06,2022-9.08.2022-29.04.2023</t>
  </si>
  <si>
    <t>92/4</t>
  </si>
  <si>
    <t>120</t>
  </si>
  <si>
    <t>108/1</t>
  </si>
  <si>
    <t>113</t>
  </si>
  <si>
    <t>შპს უნივერსალი 2020</t>
  </si>
  <si>
    <t>მუნიციპალიტეტის მოსახლეობის სასმელი წყლის რეგულარულად მიწოდების უზრუნველსაყოფად სატვირთო ავტომობილის და მისი მძღოლის მომსახურების შესყიდვა</t>
  </si>
  <si>
    <t>121</t>
  </si>
  <si>
    <t>ი/მ არსენი კარელიძე</t>
  </si>
  <si>
    <t>მუნიციპალიტეტის ტერიტორიაზე საკანალიზაციო სისტემის ქსელის გაწმენდითი მომსახურება</t>
  </si>
  <si>
    <t>სოფ.  მზისგულში არსებული ჭაბურღილის სრულფასოვანი ფუნქციონირებისათვის ახალი ელ.აღრიცხვის კვანძის მოწყობის ხარჯი</t>
  </si>
  <si>
    <t>წერილიN15696-28092022-62826</t>
  </si>
  <si>
    <t>27,01,2022-2.10.2022</t>
  </si>
  <si>
    <t>128</t>
  </si>
  <si>
    <t>129/1</t>
  </si>
  <si>
    <t>92/1</t>
  </si>
  <si>
    <t>93/2</t>
  </si>
  <si>
    <t>სოფ. დიდ ჩაილურში გარე განათების ქსელის დასრულებისთვის 850მ. ელსადენის (2*16მმ) შესყიდვა</t>
  </si>
  <si>
    <t>125</t>
  </si>
  <si>
    <t>127</t>
  </si>
  <si>
    <t xml:space="preserve"> ქ. საგარეჯოში, კახეთის გზატკეცილი N10-ში მდებარე მრავალბინიანი საცხოვრებელი სახლის სახურავის, სოფელ თოხლიაურში საბავშვო ბაღის სახურავის, საგარეჯოს მუნიციპალიტეტის სოფელ ხაშმში ადმინისტრაციული შენობის სახურავის, სოფელ უჯარმაში მრავალბინიანი საცხოვრებელი სახლის სახურავის გადახურვის/მოწყობისა და სოფელ უჯარმაში ადმინისტრაციული შენობის სახურავის სარეაბილიტაციო სამუშაოების შესყიდვა. განკ. 604</t>
  </si>
  <si>
    <t>ქ.საგარეჯოში კახეთის გზატკეცილი#15-თან არსებული დაზიანებულისაყრდენი კედლის აღდგენის სამუშაოები</t>
  </si>
  <si>
    <t>92</t>
  </si>
  <si>
    <t>შპს ლუკაკუ</t>
  </si>
  <si>
    <t>115</t>
  </si>
  <si>
    <t>122/1</t>
  </si>
  <si>
    <t>112</t>
  </si>
  <si>
    <t>104</t>
  </si>
  <si>
    <t>104/2</t>
  </si>
  <si>
    <t>სოფ. პატარძეულში გარეგანათებისთვის  ახალი ელ. აღრ. კვანძის მოწყობის ხარჯი</t>
  </si>
  <si>
    <t>სოფ. ვერონაში გარეგანათების ახალი ელ. აღრ. კვანძის მოწყობის ხარჯი</t>
  </si>
  <si>
    <t>სოფ. მარიამჯვარში გარეგანათების ახალი ელ. აღრ. კვანძის მოწყობის ხარჯი</t>
  </si>
  <si>
    <t>საგ მუნიც სოფ. შიბლიანში გარე განათებისთვის 2ც. ახალი ელ. აღრიცხვის კვანძის მოწყობის ხარჯი</t>
  </si>
  <si>
    <t>წერილი #: 15139-19092022-89035; თარიღი: 19/09/2022</t>
  </si>
  <si>
    <t>წერილი #: 15437-23092022-25872; თარიღი: 23/09/2022</t>
  </si>
  <si>
    <t>წერილი #: 15713-28092022-47270; თარიღი: 28/09/2022</t>
  </si>
  <si>
    <t>107/1</t>
  </si>
  <si>
    <t>შპს იო-ბულდინგი</t>
  </si>
  <si>
    <t>104/1</t>
  </si>
  <si>
    <t>107</t>
  </si>
  <si>
    <t>110</t>
  </si>
  <si>
    <t>110/2</t>
  </si>
  <si>
    <t>104/3</t>
  </si>
  <si>
    <t>მუნიციპალიტეტის სარეკლამო ბილბორდებისთვის ორი ბანერის (3/9-ზე ზომით) ბეჭდვა</t>
  </si>
  <si>
    <t>112/1</t>
  </si>
  <si>
    <t>შპს პრინტ თაიმი</t>
  </si>
  <si>
    <t>შემოსავალი ხელშეკრულების პირობების დარღვევის გამო დაკისრებული პირგასამტეხლოდან(ს/კ 238154849 შ.პ.ს"ამ ჯორჯია") განკ.N 2630</t>
  </si>
  <si>
    <t>შპს ამ- ჯორჯია</t>
  </si>
  <si>
    <t>07,03,2022-10.03.2022</t>
  </si>
  <si>
    <t>21.01.2022-31.12.2022</t>
  </si>
  <si>
    <t>101</t>
  </si>
  <si>
    <t>116</t>
  </si>
  <si>
    <t>117</t>
  </si>
  <si>
    <t>129</t>
  </si>
  <si>
    <t>84</t>
  </si>
  <si>
    <t>100</t>
  </si>
  <si>
    <t>საგარეჯოს მუნიციპალიტეტის სოფ. გომბორის საგანგებო სიტუაციათა და სამედიცინო სამსახურის შენობის ფუნქციონირებისათვის ახალი ელაღრიცხვის კვანძის მოწყობის ხარჯი</t>
  </si>
  <si>
    <t>წერილი N15144-19092022-61696</t>
  </si>
  <si>
    <t>სს ,,ენერგო-პრო-ჯორჯია"</t>
  </si>
  <si>
    <t>106/1</t>
  </si>
  <si>
    <t>87/4</t>
  </si>
  <si>
    <t>სამი კვარტლის გეგმა</t>
  </si>
  <si>
    <t>სამი კვარტ.დაფინან. %</t>
  </si>
  <si>
    <t>ხელშეკრულებით გათვალისწინებული  შესრულებული სამუშაოს % მ.წ.1.10.-თვის</t>
  </si>
  <si>
    <t>მუნიციპალიტეტის მერიის ადმინისტრაციული  შენობის სარეაბილიტაციო სამუშაოები</t>
  </si>
  <si>
    <t>108/2</t>
  </si>
  <si>
    <t>სოფ. ხაშმის ადმინისტრაციული შენობის სტიქიით დაზიანებული სახურავის გადახურვა განკ.#604 5.04.2022</t>
  </si>
  <si>
    <t>სოფ. უჯარმის ადმინისტრაციული შენობის სტიქიით დაზიანებული სახურავის გადახურვა განკ.#604 5.04.2022</t>
  </si>
  <si>
    <t>394.684 გადახ.2021 წ.-100.0 ადგ.,294.684 სახ.; 2022წ.ვალდ.1577.91754,ადგ-78.89589,1499.02165 სახ</t>
  </si>
  <si>
    <t xml:space="preserve"> ქალაქ საგარეჯოში მშვიდობის ქუჩის მოასფალტების სამუშაოები.განკ#2685, 31.12.2020-11.82926; N75 17.01.2022-449.56394</t>
  </si>
  <si>
    <t>29.06.-28.09.2022</t>
  </si>
  <si>
    <t>29.06.-28.11.2022</t>
  </si>
  <si>
    <t>2021 გადახდილია 535.39351ლ,ადგ.26.76969ლ, სახ.508.62382ლ 2022წ.ვალდ.14.53727ლ</t>
  </si>
  <si>
    <t>05.07.-3.11.2022</t>
  </si>
  <si>
    <t>სოფელ მზისგულში სკოლასთან მისასვლელი ქუჩის მოასფალტების სამუშაოების შესყიდვა.</t>
  </si>
  <si>
    <t> სოფ.გიორგიწმინდაში სკვერთან მისასვლელი გზის (ე.წ" გუგუტიაანთ უბანი) მოასფალტების სამუშაოების შესყიდვა.</t>
  </si>
  <si>
    <t>01.09.-3.11.2022</t>
  </si>
  <si>
    <t>10 ცალი ზოგადი ხედვის კამერის შესყიდვა</t>
  </si>
  <si>
    <t>სოფელ პატარძეულში ე.წ. ,,ლალიაანთ უბანში’’ სასმელი წყლის რეზერვუარის ამაღლების, ქ.საგარეჯო მშვიდობის ქუჩაზე წყლის რეზერვუარისა და გამანაწილებლის შეცვლისა და ქ. საგარეჯო კახეთის გზატკეცილის მიმდებარედ არსებულ ჭაბურღილთან 4,5 მეტრზე წყლის რეზერვუარის მოწყობის სამუშაოების შესყიდვა.</t>
  </si>
  <si>
    <t>22.09.-10.11.2022</t>
  </si>
  <si>
    <t>შ.პ.ს.ბილდინგ-დეველოპერ</t>
  </si>
  <si>
    <t>19.09.-19.12.2022</t>
  </si>
  <si>
    <t>შპს  ბურჯი -2008</t>
  </si>
  <si>
    <t>შპს ჰიდროგეო</t>
  </si>
  <si>
    <t>სოფელ მუხროვანის ჭაბურღილის და კოშკურა რეზერვუარის სამუშაოების შესყიდვა.</t>
  </si>
  <si>
    <t>05.07.-4.10.2022</t>
  </si>
  <si>
    <t>საგარეჯოში ს/კ 55.12.63.000.015 მიმდებარედ ჭაბურღილის და 25 მ3 სამარაგო კოშკურა რეზერვუარის მოწყობის სამუშაოების შესყიდვა.</t>
  </si>
  <si>
    <t>06.07.-5.10.2022</t>
  </si>
  <si>
    <t>15.07.-14.10.2022</t>
  </si>
  <si>
    <t>13.07.-27.07.2022</t>
  </si>
  <si>
    <t>06.07.5.10.2022</t>
  </si>
  <si>
    <t xml:space="preserve"> შიბლიანის ლითონის  რეზერვუარების  და წყალმომარაგების  ქსელის რეაბილიტაციის  სამუშაოები</t>
  </si>
  <si>
    <t>27.06.-31.12.2022</t>
  </si>
  <si>
    <t>შპს ზ.ს</t>
  </si>
  <si>
    <t>საგარეჯოს მუნიციპალიტეტის მასშტაბით გარე განათების მოწყობის შესყიდვა.</t>
  </si>
  <si>
    <t>16.09.-31.12.2022</t>
  </si>
  <si>
    <t>2021 წ.გადახდილია 29.04565</t>
  </si>
  <si>
    <t>სოფელ უდაბნოში 2022 წლის 28 მარტის სტიქიის შედეგად დაზიანებული საცხოვრებელი სახლის სახურავების მოწყობისთვის საჭირო მასალების შეძენა თანმდევი ტრანსპორტირება/ მოსხლეობაზე გადაცემით  გან N604 5.04.2022</t>
  </si>
  <si>
    <t>28.07.-8.08.2022</t>
  </si>
  <si>
    <t>28.07.-8.10.2022</t>
  </si>
  <si>
    <t>საგარეჯოს მუნიციპალიტეტში 2022 წლის 28 მარტს მომხდარი სტიქიის შედეგების სალიკვიდაციო სამუშაოების, კერძოდ სტიქიის შედეგად მოსახლეობის საცხოვრებელი სახლების დაზიანებული სახურავების სარეაბილიტაციო სამუშაოების შესყიდვა; განკ. N604 5.04.2022</t>
  </si>
  <si>
    <t>საგარეჯოს მუნიც.ქ.საგარეჯოსა და 14 სოფლის  2022წ 28 მარტის სტიქიის შედეგად დაზიანებული საცხოვრებელი სახლების  სახურავების  მოწყობისათვის  საჭირო მასალის  შესყიდვა მთ.  განN604 5.04.2022</t>
  </si>
  <si>
    <t>18.07.-2.08.2022</t>
  </si>
  <si>
    <t>05.07.-2.08.2022</t>
  </si>
  <si>
    <t xml:space="preserve">სტიქიის შედეგად დაზიანებული ცხრა კერძო საცხოვრებელი სახლის შეკეთებისთვის საჭირო სამშენებლო მასალების შესყიდვა-სარეზერვო ბ.52.522204210--3.13726ლ, ბ.52.522204810--11.06059ლ, ბ.52.5222094001--34.59867ლ, ბ.52.52220429--25.25793ლ, </t>
  </si>
  <si>
    <t>შპს ინტერიერი</t>
  </si>
  <si>
    <t>24.08.-8.09.2022</t>
  </si>
  <si>
    <t>ქ. საგარეჯოში, ერეკლე II-ს ქ. N32-ში მცხოვრები მაია აფრიამაშვილის, ქ.საგარეჯოში, ქ.საგარეჯოში ერეკლე II-ქუჩაზ მცხოვრები ნატალია ლაღაძიშვილის, ქ. საგარეჯოში მცხოვრები დავით არდაზიშვილის სტიქიის შედეგად დაზიანებული კერძო საცხოვრებელი სახლებისთვის და ქ. საგარეჯოში, გამარჯვების ქ. N32-ში მცხოვრები ნარგიზი კავთუაშვილისა და რუსთაველის ქ. N191-ში მცხოვრები გივი დალბაშვილის, ხანძრის შედეგად დაზიანებული საცხოვრებელი სახლისთვის სხვადასხვა სახის სტრუქტურული მასალების შესყიდვა სარეზ.ბ.52.52221378 17.05.2022-1.00676ლ, ბ.52.522215242 1.06.2022-11.82571ლ,ბ.52.52221673 16.06.2022-1.04047ლ</t>
  </si>
  <si>
    <t>ს.ანთოკში მცხოვრები ბესარიონ პაპუნაშვილის ხანძრის შედეგად  დაზიანებული  საცხოვრებელი  სახლის რეაბილიტაციისათვის  საჭირო სამშენებლო  მასალების  შესყიდვა ბ.52.522212616 6.05.2022</t>
  </si>
  <si>
    <t>ს.კაკაბეთში  მცხოვრებ ა.ღვინაშვილის დაზიანებული სახლის მშენებლობისთვის სამშენებლო ქვიშისა და ღორღის შესყიდვა ბ.52.52221402 20.05.2022</t>
  </si>
  <si>
    <r>
      <t>შპს</t>
    </r>
    <r>
      <rPr>
        <sz val="9"/>
        <rFont val="Calibri"/>
        <family val="2"/>
        <charset val="204"/>
      </rPr>
      <t xml:space="preserve"> ,,</t>
    </r>
    <r>
      <rPr>
        <sz val="9"/>
        <rFont val="Sylfaen"/>
        <family val="1"/>
        <charset val="204"/>
      </rPr>
      <t>საინჟინრო</t>
    </r>
    <r>
      <rPr>
        <sz val="9"/>
        <rFont val="Calibri"/>
        <family val="2"/>
        <charset val="204"/>
      </rPr>
      <t xml:space="preserve"> </t>
    </r>
    <r>
      <rPr>
        <sz val="9"/>
        <rFont val="Sylfaen"/>
        <family val="1"/>
        <charset val="204"/>
      </rPr>
      <t>მონიტორინგის</t>
    </r>
    <r>
      <rPr>
        <sz val="9"/>
        <rFont val="Calibri"/>
        <family val="2"/>
        <charset val="204"/>
      </rPr>
      <t xml:space="preserve"> </t>
    </r>
    <r>
      <rPr>
        <sz val="9"/>
        <rFont val="Sylfaen"/>
        <family val="1"/>
        <charset val="204"/>
      </rPr>
      <t>ჯგუფი</t>
    </r>
    <r>
      <rPr>
        <sz val="9"/>
        <rFont val="Calibri"/>
        <family val="2"/>
        <charset val="204"/>
      </rPr>
      <t>’’</t>
    </r>
  </si>
  <si>
    <r>
      <rPr>
        <sz val="9"/>
        <rFont val="Times New Roman"/>
        <family val="1"/>
        <charset val="204"/>
      </rPr>
      <t xml:space="preserve"> </t>
    </r>
    <r>
      <rPr>
        <sz val="9"/>
        <rFont val="Sylfaen"/>
        <family val="1"/>
        <charset val="204"/>
      </rPr>
      <t>სოფელ</t>
    </r>
    <r>
      <rPr>
        <sz val="9"/>
        <rFont val="Times New Roman"/>
        <family val="1"/>
        <charset val="204"/>
      </rPr>
      <t xml:space="preserve"> </t>
    </r>
    <r>
      <rPr>
        <sz val="9"/>
        <rFont val="Sylfaen"/>
        <family val="1"/>
        <charset val="204"/>
      </rPr>
      <t>თოხლიაურში</t>
    </r>
    <r>
      <rPr>
        <sz val="9"/>
        <rFont val="Times New Roman"/>
        <family val="1"/>
        <charset val="204"/>
      </rPr>
      <t xml:space="preserve"> </t>
    </r>
    <r>
      <rPr>
        <sz val="9"/>
        <rFont val="Sylfaen"/>
        <family val="1"/>
        <charset val="204"/>
      </rPr>
      <t>მინი</t>
    </r>
    <r>
      <rPr>
        <sz val="9"/>
        <rFont val="Times New Roman"/>
        <family val="1"/>
        <charset val="204"/>
      </rPr>
      <t xml:space="preserve"> </t>
    </r>
    <r>
      <rPr>
        <sz val="9"/>
        <rFont val="Sylfaen"/>
        <family val="1"/>
        <charset val="204"/>
      </rPr>
      <t>სტადიონის</t>
    </r>
    <r>
      <rPr>
        <sz val="9"/>
        <rFont val="Times New Roman"/>
        <family val="1"/>
        <charset val="204"/>
      </rPr>
      <t xml:space="preserve"> </t>
    </r>
    <r>
      <rPr>
        <sz val="9"/>
        <rFont val="Sylfaen"/>
        <family val="1"/>
        <charset val="204"/>
      </rPr>
      <t>საყრდენი</t>
    </r>
    <r>
      <rPr>
        <sz val="9"/>
        <rFont val="Times New Roman"/>
        <family val="1"/>
        <charset val="204"/>
      </rPr>
      <t xml:space="preserve"> </t>
    </r>
    <r>
      <rPr>
        <sz val="9"/>
        <rFont val="Sylfaen"/>
        <family val="1"/>
        <charset val="204"/>
      </rPr>
      <t>კედლის</t>
    </r>
    <r>
      <rPr>
        <sz val="9"/>
        <rFont val="Times New Roman"/>
        <family val="1"/>
        <charset val="204"/>
      </rPr>
      <t xml:space="preserve"> </t>
    </r>
    <r>
      <rPr>
        <sz val="9"/>
        <rFont val="Sylfaen"/>
        <family val="1"/>
        <charset val="204"/>
      </rPr>
      <t>მოწყობისა</t>
    </r>
    <r>
      <rPr>
        <sz val="9"/>
        <rFont val="Times New Roman"/>
        <family val="1"/>
        <charset val="204"/>
      </rPr>
      <t xml:space="preserve"> </t>
    </r>
    <r>
      <rPr>
        <sz val="9"/>
        <rFont val="Sylfaen"/>
        <family val="1"/>
        <charset val="204"/>
      </rPr>
      <t>და</t>
    </r>
    <r>
      <rPr>
        <sz val="9"/>
        <rFont val="Times New Roman"/>
        <family val="1"/>
        <charset val="204"/>
      </rPr>
      <t xml:space="preserve"> </t>
    </r>
    <r>
      <rPr>
        <sz val="9"/>
        <rFont val="Sylfaen"/>
        <family val="1"/>
        <charset val="204"/>
      </rPr>
      <t>ქ</t>
    </r>
    <r>
      <rPr>
        <sz val="9"/>
        <rFont val="Times New Roman"/>
        <family val="1"/>
        <charset val="204"/>
      </rPr>
      <t xml:space="preserve">. </t>
    </r>
    <r>
      <rPr>
        <sz val="9"/>
        <rFont val="Sylfaen"/>
        <family val="1"/>
        <charset val="204"/>
      </rPr>
      <t>საგარეჯოში</t>
    </r>
    <r>
      <rPr>
        <sz val="9"/>
        <rFont val="Times New Roman"/>
        <family val="1"/>
        <charset val="204"/>
      </rPr>
      <t xml:space="preserve"> </t>
    </r>
    <r>
      <rPr>
        <sz val="9"/>
        <rFont val="Sylfaen"/>
        <family val="1"/>
        <charset val="204"/>
      </rPr>
      <t>ჩოლოყაშვილის</t>
    </r>
    <r>
      <rPr>
        <sz val="9"/>
        <rFont val="Times New Roman"/>
        <family val="1"/>
        <charset val="204"/>
      </rPr>
      <t xml:space="preserve"> </t>
    </r>
    <r>
      <rPr>
        <sz val="9"/>
        <rFont val="Sylfaen"/>
        <family val="1"/>
        <charset val="204"/>
      </rPr>
      <t>ქუჩაზე</t>
    </r>
    <r>
      <rPr>
        <sz val="9"/>
        <rFont val="Times New Roman"/>
        <family val="1"/>
        <charset val="204"/>
      </rPr>
      <t xml:space="preserve"> </t>
    </r>
    <r>
      <rPr>
        <sz val="9"/>
        <rFont val="Sylfaen"/>
        <family val="1"/>
        <charset val="204"/>
      </rPr>
      <t>სანიაღვრე</t>
    </r>
    <r>
      <rPr>
        <sz val="9"/>
        <rFont val="Times New Roman"/>
        <family val="1"/>
        <charset val="204"/>
      </rPr>
      <t xml:space="preserve"> </t>
    </r>
    <r>
      <rPr>
        <sz val="9"/>
        <rFont val="Sylfaen"/>
        <family val="1"/>
        <charset val="204"/>
      </rPr>
      <t>არხის</t>
    </r>
    <r>
      <rPr>
        <sz val="9"/>
        <rFont val="Times New Roman"/>
        <family val="1"/>
        <charset val="204"/>
      </rPr>
      <t xml:space="preserve"> </t>
    </r>
    <r>
      <rPr>
        <sz val="9"/>
        <rFont val="Sylfaen"/>
        <family val="1"/>
        <charset val="204"/>
      </rPr>
      <t>მოწყობის</t>
    </r>
    <r>
      <rPr>
        <sz val="9"/>
        <rFont val="Times New Roman"/>
        <family val="1"/>
        <charset val="204"/>
      </rPr>
      <t xml:space="preserve"> </t>
    </r>
    <r>
      <rPr>
        <sz val="9"/>
        <rFont val="Sylfaen"/>
        <family val="1"/>
        <charset val="204"/>
      </rPr>
      <t>სამუშაოები</t>
    </r>
    <r>
      <rPr>
        <sz val="9"/>
        <rFont val="Times New Roman"/>
        <family val="1"/>
        <charset val="204"/>
      </rPr>
      <t xml:space="preserve">. </t>
    </r>
  </si>
  <si>
    <r>
      <t>შპს</t>
    </r>
    <r>
      <rPr>
        <sz val="9"/>
        <rFont val="Times New Roman"/>
        <family val="1"/>
        <charset val="204"/>
      </rPr>
      <t xml:space="preserve"> ,,</t>
    </r>
    <r>
      <rPr>
        <sz val="9"/>
        <rFont val="Sylfaen"/>
        <family val="1"/>
        <charset val="204"/>
      </rPr>
      <t>ეპიურა</t>
    </r>
    <r>
      <rPr>
        <sz val="9"/>
        <rFont val="Times New Roman"/>
        <family val="1"/>
        <charset val="204"/>
      </rPr>
      <t>’’</t>
    </r>
  </si>
  <si>
    <t>25.08.-24.11.2022</t>
  </si>
  <si>
    <t>ი.მ.ალექსანდრე დიღმელაშვილი</t>
  </si>
  <si>
    <t>ი/მ ლევანი ესაიაშვილი -</t>
  </si>
  <si>
    <t>12.08.-11.11.2022</t>
  </si>
  <si>
    <t>12.08.-13.10.2022</t>
  </si>
  <si>
    <t>შპს  იო-ბულდინგი</t>
  </si>
  <si>
    <t>04.08.-13.10.2022</t>
  </si>
  <si>
    <t>ი/მ თამაზი გაგნიაშვილი</t>
  </si>
  <si>
    <t>04.08.-6.10.2022</t>
  </si>
  <si>
    <t>ი/მ ზურაბი დევდარიანი</t>
  </si>
  <si>
    <t>26.07.-25.10.2022</t>
  </si>
  <si>
    <t>26.07.-27.09.2022</t>
  </si>
  <si>
    <t>26.07.-25.08.2022</t>
  </si>
  <si>
    <t>ი/მ ნოდარ ხებრელაშვილი</t>
  </si>
  <si>
    <t>26.07.-27.07.2022</t>
  </si>
  <si>
    <t>17.06.-9.07.2022</t>
  </si>
  <si>
    <t>19.08.-22.08.2022</t>
  </si>
  <si>
    <t>22.07.-23.07.2022</t>
  </si>
  <si>
    <t>23.06.-8.072022-</t>
  </si>
  <si>
    <t>2021წ.გადახდ91.855, ადგ4.592, სახ87.263, 2022წ.ვალდ.413.18073,ადგ64.12775, სახ.349.05298</t>
  </si>
  <si>
    <t>სოფელ გომბორის სკოლამდელი აღზრდის დაწესებულების რეაბილიტაციის სამუშაოების შესყიდვა.</t>
  </si>
  <si>
    <t>01.08-3.10.2022</t>
  </si>
  <si>
    <t>11.07.-12.09.2022</t>
  </si>
  <si>
    <t>სოფელ დიდი ჩაილურის სკოლამდელი აღზრდის დაწესებულების რეალიბიტაციის სამუშაოების შესყიდვა.</t>
  </si>
  <si>
    <t>27.06.-26.09.2022</t>
  </si>
  <si>
    <t xml:space="preserve">2021 წ.გადახდ.182.73471ლ </t>
  </si>
  <si>
    <t>2021 წ.გადახდ.132.05644</t>
  </si>
  <si>
    <t>სოფ. თოხლიაურში საბავშვო ბარის სტიქიის მიერ დაზიანებული სახურავის მოწყობის სამუშაოები განკ. N604 5.04.2022</t>
  </si>
  <si>
    <t>თავისუფალი საქ.მომს.</t>
  </si>
  <si>
    <t>სოფელ გომბორის სპორტული დარბაზის გაზმომარაგების შიდა ქსელის მოწყობის, სოფელ ნინოწმინდის სპორტული დარბაზის გაზმომარაგების შიდა ქსელის მოწყობისა და ქ. საგარეჯოში, რუსთაველის ქ. N178-ში აღრიცხვისა და რედუცირების კვანძების რეკონსტრუქციის სამუშაოების შესყიდვა.</t>
  </si>
  <si>
    <t>22.09.-6.10.2022</t>
  </si>
  <si>
    <t>შპს, ფერმო ფენსი</t>
  </si>
  <si>
    <t>26.08.-28.10.2022</t>
  </si>
  <si>
    <t>შპს  ტიფლის კონსტრაქშენ</t>
  </si>
  <si>
    <t>25.08.-27.10.2022</t>
  </si>
  <si>
    <t> სოფელ პატარძეულში ხელოვნურ საფარიანი კომბინირებული სპორტული მოედნის (33X20) სამუშაოების შესყიდვა.</t>
  </si>
  <si>
    <t>07.04.-2.08.2020-31.10.2021</t>
  </si>
  <si>
    <t>2020წ.გადახდ-30.43625ლ(1.52185ადგ.28.91440 სახ.)2021წ.გდახდ.91.47819ლ(1.5204219ადგ.28.62136სახ)</t>
  </si>
  <si>
    <t>20.07.-21.09.2022</t>
  </si>
  <si>
    <t>სოფელ ვერხვიანში მინი სტადიონის მოწყობის სამუშაოების შესყიდვა.</t>
  </si>
  <si>
    <t>14,06,-16.08.2022</t>
  </si>
  <si>
    <t>28,07,-9.02.2022</t>
  </si>
  <si>
    <t>ქ. საგარეჯოში, სარაჯიშვილის ქუჩის მიმდებარედ (ს/კ : 55.11.51.000.177) მინი სტადიონის მოწყობის სამუშაოების შესყიდვა.</t>
  </si>
  <si>
    <t>21.07.-22.09.2022</t>
  </si>
  <si>
    <t>21.06.-23.08.2022</t>
  </si>
  <si>
    <t> სოფელ კოჭბაანში მინი მოედნის (15X30) მოწყობის სამუშაოების შესყიდვა.განკ.#926 25.05.2022</t>
  </si>
  <si>
    <t>საზოგადოებრივი ჯანდაცვის ცენტრისთვის შენობის მშენებლობა</t>
  </si>
  <si>
    <t xml:space="preserve">შემოსავალი ხელშეკრულების პირობების დარღვევის გამო დაკისრებული პირგასამტეხლოდან (ს/კ400035706 შ.პ.ს "როვერი 2012") #330 </t>
  </si>
  <si>
    <t>შემოსავალი ხელშეკრულების პირობების დარღვევის გამო დაკისრებული პირგასამტეხლოდან(სს"კავკასავტომაგისტრალი"ს/კ 238109202)განკ#2685, 31.12.2020</t>
  </si>
  <si>
    <t>ქ.საგარეჯოში ცხვედაძის ქუჩის მოასფალტების სამუშაოები განკ.#75</t>
  </si>
  <si>
    <t>განკ.1419  16.08.2021</t>
  </si>
  <si>
    <t>განკ.330 11.03.2021</t>
  </si>
  <si>
    <t>განკ.N75 17.01.2022</t>
  </si>
  <si>
    <t xml:space="preserve">შემოსავალი ხელშეკრულების პირობების დარღვევის გამო დაკისრებული პირგასამტეხლოდან (ნინოწმინდა-წყაროსტავის დამაკავშირებელი გზის მოასფალტება სს კავკასავტომაგისტრალი) ხელ.N17 23.02.2021 განკ.#2685 </t>
  </si>
  <si>
    <t>სოფელ ვერხვიანში წყალმომარაგების მაგისტრალური ქსელისა და მილსადენის რეაბილიტაციის მოწყობის სამუშაოების შესყიდვა #75 17.01.2022</t>
  </si>
  <si>
    <t> სოფელ გომბორის წყალსადენის ქსელის მოწყობის სამუშაოების შესყიდვა #75 17.01.2022</t>
  </si>
  <si>
    <t>#926 25.05.2022</t>
  </si>
  <si>
    <t>საგარეჯოს რაიონის სოფელ კოდას საკურორტო ზონის განვითარების ხელშეწყობა ტურისტული და ბიზნესის ხელშემწყობი ინფრასტრუქტურის მოწყობით, კერძოდ საჰაერო და საკაბელო ელექტროგადამცემი ხაზებისა და სატრანსფორმატორო ქვესადგურის მშენებლობის სამუშაოების შესყიდვა #1419 16.08.2021</t>
  </si>
  <si>
    <t>#330 11.03.2021</t>
  </si>
  <si>
    <t>#604 5.04.2022</t>
  </si>
  <si>
    <t>კოდას საკურორტო ზონის გან ხელშ ტურისტ და ბიზნესისი ხელშ ინფრას მოწყობით-კერძოდ ტერასისა და კოტეჯების მოწყობა განკ.N1419 16.08.2021</t>
  </si>
  <si>
    <t>განკ.N1419 16.08.2021</t>
  </si>
  <si>
    <t>საპროექტო-სახარჯთაღრიცხვო დოკუმენტაციის შედგენის მომსახურება გან.N277 15.02.2022</t>
  </si>
  <si>
    <t>სოფელ კაკაბეთში ე.წ. "ღვინაანთ" უბნის გზის მოასფალტება მთავრ.  განკ N75 17.01.2022-157.92785;  #2685 31.12.2020-29.55629</t>
  </si>
  <si>
    <t>სოფელ კაკაბეთში ღვთისმშობლის ეკლესიასთან მისასვლელი  გზის მოასფალტება მთავრ.  N75 17.01.2022-94.80156; #2685 31.12.2020-0.50 თ.</t>
  </si>
  <si>
    <t xml:space="preserve"> ქალაქ საგარეჯოში ბარნოვის, რობაქიძესა და 9 ძმის ქუჩების მოასფალტების სამუშაოები.განკ#2685, 31.12.2020-9.97277; N75 17.01.2022-164.54112</t>
  </si>
  <si>
    <t xml:space="preserve"> სოფელ თულარი-კაზლარის ცენტრალურ  დამაკავშირებელ გზაზე ა/საფარის მოწყობა განკ#2685, 31.12.2020-12.17618; #75 17.01.2022-209.823;</t>
  </si>
  <si>
    <t>განკ N51 14.01.2022</t>
  </si>
  <si>
    <t>სოფ. გომბორში საჭიდაო დარბაზის რეაბილიტაცია განკ. N2630 18.12.2019</t>
  </si>
  <si>
    <t>განკ. N2630 18.12.2019</t>
  </si>
  <si>
    <t>განკ.#926 25.05.2022</t>
  </si>
  <si>
    <t>სოფელ უდაბნოში ჩიჩხიტურის კოშკთან მისასვლელი გზის მოასფალტება  განკ N2685 31.12.2020</t>
  </si>
  <si>
    <t>საგარეჯოს  მუნიციპალიტეტის  სოფ. მუხროვანში  ჭაბურღილის და მის სამარაგო რეზერვუარის სრულფასოვანი ფუნქციონირებისათვის მაღალი ძაბვის აღრიცხვის კვანძის მოწყობის ხარჯი</t>
  </si>
  <si>
    <t>ქ. საგარეჯოში მდებარე ჭაბურღილის და მის სამარაგო რეზერვუარის სრულფასოვანი ფუნქციონირებისათვის მაღალი ძაბვის აღრიცხვის კვანძის მოწყობის ხარჯი</t>
  </si>
  <si>
    <t xml:space="preserve"> დასუფთავების აქციისთვის  100ც ნაგვის პარკის და 84ც ხელთათმანის შესყიდვა</t>
  </si>
  <si>
    <t>ერთიანი ანგარიში;</t>
  </si>
  <si>
    <t>22.06.-10.08.2022</t>
  </si>
  <si>
    <t>05.08.-4.11.2022</t>
  </si>
  <si>
    <t>ერთი ერთეული ექსკავატორ-დამტვირთველის შესყიდვა.</t>
  </si>
  <si>
    <t>06.05.-5.08.2022</t>
  </si>
  <si>
    <t>31.01.2020-31.10.2021</t>
  </si>
  <si>
    <t>21.01.2020-31.12.2021</t>
  </si>
  <si>
    <t>23.02.2021-24.05.2022</t>
  </si>
  <si>
    <t>სოფელ შიბლიანში წყალმომარაგების ქსელის რეაბილიტაციის სამუშაოების შესყიდვა.</t>
  </si>
  <si>
    <t xml:space="preserve">ერთი ერთეული ავტომობილის "Mitsubisubishi L 200"-სახელმწიფო შესყიდვა, </t>
  </si>
  <si>
    <t>18.07.-17.10.2022</t>
  </si>
  <si>
    <t>26.07.-4.08.2022</t>
  </si>
  <si>
    <t>26.07.-29.07.2022</t>
  </si>
  <si>
    <t>02.09.-31.12.2022</t>
  </si>
  <si>
    <t>06.09.-31.12.2022</t>
  </si>
  <si>
    <t>18.07.-21.07.2022</t>
  </si>
  <si>
    <t>12.09.-15.09.2022</t>
  </si>
  <si>
    <t>25.01.-31.12.2021</t>
  </si>
  <si>
    <t>06.09.-6.12.2022</t>
  </si>
  <si>
    <t>22.07.-26.07.2022</t>
  </si>
  <si>
    <t>19.08.-23.08.2022</t>
  </si>
  <si>
    <t>17,01,-31.12.2022</t>
  </si>
  <si>
    <t>18,03,-31.12.2022</t>
  </si>
  <si>
    <t>18.07.-29.07.2022</t>
  </si>
  <si>
    <t>05.08.-31.12.2022</t>
  </si>
  <si>
    <t>საგარეჯოს მუნიციპალიტეტის ტერიტორიაზე არსებული სასმელი წყლის სისტემების მომსახურებისთვის საჭირო მასალების შესყიდვა.</t>
  </si>
  <si>
    <t>22.08.-31.12.2022</t>
  </si>
  <si>
    <t>30.06.-21.07.2022</t>
  </si>
  <si>
    <t>ინფორმაცია</t>
  </si>
  <si>
    <t>ერთიანი ანგარიში,</t>
  </si>
  <si>
    <t xml:space="preserve">  სოფ. გიორგიწმინდის წყალმომომარაგების სამუშაოებისათვის ელენერგ.ხაზების განთავსების ნებართვის საფასური 'საქართველოს რკინიგზის" საკუთრებაში არსებულ მიწის ნაკვეთებზე</t>
  </si>
  <si>
    <t>მუნიც.ტერიტ სასმელი წყლის ამქაჩი ტუმბოების ან/და მათი კომპლექტის(ახლით) ან/და ხარჯთაღ.გათვ. რომელიმე მოწყ/საქონლ. შეძენა მონტ. სამ.</t>
  </si>
  <si>
    <t>სტიქიით  დაზიანებული  ქ.საგარეჯოში კახეთის გზ#10-ში მდე მრავალბ. საცხოვრებელი სახლის სახურავის  და უჯარმაში მდებარე მრავალბინიანი საცხოვრებელი სახლის სახურავის რეაბილიტაციის  საპროექტო დოკუმენტების  შედგენა მთავრ. განკ N604 5.04.2022</t>
  </si>
  <si>
    <t>საგარეჯოში გამარჯვების 32-ში მც ნ.კავთუაშვილის ხანძრის  შედეგად დაზიანებული საცხოვრებელი სახლის  ს.ვერხვიანში მცხ.ნ.საგინაშვილის სტიქიით დაზიანებული საცხოვრებელი სახლის  შეკეთებისათვის საჭირო  სამშენებლო  მასალის  შესყიდვა ბ.52.52221378 17.05.022</t>
  </si>
  <si>
    <t>საპროექტო-სახარჯთაღრიცხვო დოკუმენტაციის შედგენის მომსახურება(სკვერების,სასაფლაოს შემოღობვის, საპირფარეშოს,ობელისკთან ფარდულის მოწყობის) გან.N277 15.02.2022</t>
  </si>
  <si>
    <t xml:space="preserve"> ქვემო სამგორის დასახლებაში შიდა გზების მოხრეშვის სამუშაოები გან. N277 15.02.2022</t>
  </si>
  <si>
    <t>ს.სათაფლეში არსებული 2 შემოსასვლელი გზის რეაბილიტაცია გან.N277 15.02.2022</t>
  </si>
  <si>
    <t>ს.გორანაში და იკვლივგორანაში ხიდის მოწყობის სამუშაოების   საპროექტო სახარჯტაღრიცხვო დოკუმენტების შედგენა მთ. განკN277 15.02.2022</t>
  </si>
  <si>
    <t>საპროექტო-სახარჯთაღრიცხვო დოკუმენტაციის შედგენის მომსახურება მთ. განკ.N277 15.02.2022</t>
  </si>
  <si>
    <t>სოფ. მზისგულში სოფლის სასაფლაოსთან ტუალეტის მოწყობა განკ.N277 15.02.2022</t>
  </si>
  <si>
    <t>ასკილაურში სასმელი წყლის მილის შეძენა -მონტაჟის, ბოტკოში სასმ.წყლის სისტემის და რეაბილიტაციის, ვაშლიანში სასმ.წყლის სათავის რეაბილიტაციის, კოჭბაანში სასმ.წყლის სათავის და სისტემის რეაბილიტაციის სამუშაოები,    პალდოში,მუხროვანში და უჯარმაში  სარწყავი სისტემის რეაბილიტაციის სამუშაოები, სასადილოსა და ოთარაანის სასმ.წყლის სათავე ნაგებობის მოწყობის სამუშაოები განკ.#277 15.02.2022</t>
  </si>
  <si>
    <t>ბადიაურის და  ვერხვიანის საბავშვო ბაღების ეზოების კეთილმოწყობის, მზისგულში სასაფლაოსთან ტუალეტის მოწყობის სამუშაოები  განკ.N277 15.02.2022</t>
  </si>
  <si>
    <t>მანავში საბავშვო ბაღის ეზოს მოწყობის სამუშაოები  განკ.N277 15.02.2022</t>
  </si>
  <si>
    <t>ზემო ბურდიანში არსებული სანიაღვრე არხის დასრულების სამუშაოები  განკ.N277 15.02.2022</t>
  </si>
  <si>
    <t>წყაროსთავში ორი უბნის დამაკავშირებელი გზის, ნინოწმინდის სასაფლაოს შემოღობვის, თოხლიაურის სკვერის ინფრასტრუქტურული სამუშაოების დასრულების სამუშაოები  განკ.N277 15.02.2022</t>
  </si>
  <si>
    <t>გორანას და იკვლივგორანას ხიდის მოწყობა განკ.N277 15.02.2022</t>
  </si>
  <si>
    <t>რუსიანის სკვერის რეაბილიტაცია განკ.N277 15.02.2022</t>
  </si>
  <si>
    <t>გომბორში მემორიალის რეაბილიტაციის სამუშაოები  განკ.N277 15.02.2022</t>
  </si>
  <si>
    <t>მუნიციპალიტეტის 14 სოფელში გარეგანათების  მოწყობის სამუშაოები  განკ.N277 15.02.2022</t>
  </si>
  <si>
    <t>სოფ.ყანდაურის სკვერის რეაბილიტაცია, ზემო ყანდაურის სკვერში საჩრდილობელა ფარდულის მოწყობა, უდაბნოს სასაფლაოს შემოღობვა  განკ.N277 15.02.2022</t>
  </si>
  <si>
    <t>პატარა ჩაილურის 2 ცალი სკვერის შემოღობვის, ანთოკში თავშეყრის ადგილის მოწყობის, დიდ ჩაილურში სკვერის მოწყობის, ხაშმში ორი მოსაცდელის მოწყობის, გიორგიწმინდა სპორტდარბაზის ეზოს შემოღობვის სამუშაოები  განკ.N277 15.02.2022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</si>
</sst>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Lari&quot;_-;\-* #,##0.00\ &quot;Lari&quot;_-;_-* &quot;-&quot;??\ &quot;Lari&quot;_-;_-@_-"/>
    <numFmt numFmtId="165" formatCode="_-* #,##0.00\ _L_a_r_i_-;\-* #,##0.00\ _L_a_r_i_-;_-* &quot;-&quot;??\ _L_a_r_i_-;_-@_-"/>
    <numFmt numFmtId="166" formatCode="0.0"/>
    <numFmt numFmtId="167" formatCode="0.00000"/>
    <numFmt numFmtId="168" formatCode="0.000"/>
    <numFmt numFmtId="169" formatCode="0.00000000000000"/>
  </numFmts>
  <fonts count="43" x14ac:knownFonts="1">
    <font>
      <sz val="11"/>
      <color theme="1"/>
      <name val="Calibri"/>
      <family val="2"/>
      <charset val="1"/>
      <scheme val="minor"/>
    </font>
    <font>
      <sz val="11"/>
      <color theme="1"/>
      <name val="Calibri"/>
      <family val="2"/>
      <scheme val="minor"/>
    </font>
    <font>
      <sz val="11"/>
      <color indexed="8"/>
      <name val="Calibri"/>
      <family val="2"/>
    </font>
    <font>
      <sz val="10"/>
      <name val="Arial"/>
      <family val="2"/>
      <charset val="204"/>
    </font>
    <font>
      <sz val="10"/>
      <name val="Arial"/>
      <family val="2"/>
    </font>
    <font>
      <sz val="11"/>
      <color theme="1"/>
      <name val="Calibri"/>
      <family val="2"/>
      <scheme val="minor"/>
    </font>
    <font>
      <sz val="9"/>
      <color indexed="8"/>
      <name val="Calibri"/>
      <family val="2"/>
    </font>
    <font>
      <sz val="9"/>
      <color indexed="8"/>
      <name val="LitNusx"/>
    </font>
    <font>
      <sz val="9"/>
      <color theme="1"/>
      <name val="Calibri"/>
      <family val="2"/>
      <charset val="1"/>
      <scheme val="minor"/>
    </font>
    <font>
      <sz val="9"/>
      <name val="LitNusx"/>
    </font>
    <font>
      <b/>
      <sz val="9"/>
      <color indexed="8"/>
      <name val="Sylfaen"/>
      <family val="1"/>
      <charset val="204"/>
    </font>
    <font>
      <sz val="9"/>
      <name val="Sylfaen"/>
      <family val="1"/>
      <charset val="204"/>
    </font>
    <font>
      <sz val="9"/>
      <color indexed="8"/>
      <name val="Sylfaen"/>
      <family val="1"/>
      <charset val="204"/>
    </font>
    <font>
      <sz val="9"/>
      <color theme="1"/>
      <name val="Sylfaen"/>
      <family val="1"/>
      <charset val="204"/>
    </font>
    <font>
      <sz val="9"/>
      <color theme="1"/>
      <name val="Calibri"/>
      <family val="2"/>
      <scheme val="minor"/>
    </font>
    <font>
      <b/>
      <sz val="9"/>
      <name val="Sylfaen"/>
      <family val="1"/>
      <charset val="204"/>
    </font>
    <font>
      <b/>
      <sz val="9"/>
      <color theme="1"/>
      <name val="Sylfaen"/>
      <family val="1"/>
      <charset val="204"/>
    </font>
    <font>
      <b/>
      <sz val="9"/>
      <color theme="1"/>
      <name val="Calibri"/>
      <family val="2"/>
      <scheme val="minor"/>
    </font>
    <font>
      <b/>
      <sz val="9"/>
      <color theme="1"/>
      <name val="Calibri"/>
      <family val="2"/>
      <charset val="1"/>
      <scheme val="minor"/>
    </font>
    <font>
      <sz val="9"/>
      <color rgb="FF000000"/>
      <name val="Sylfaen"/>
      <family val="1"/>
      <charset val="204"/>
    </font>
    <font>
      <b/>
      <sz val="9"/>
      <color theme="1"/>
      <name val="Calibri"/>
      <family val="2"/>
      <charset val="204"/>
      <scheme val="minor"/>
    </font>
    <font>
      <sz val="9"/>
      <color theme="1"/>
      <name val="Sylfaen"/>
      <family val="1"/>
    </font>
    <font>
      <sz val="9"/>
      <name val="Calibri"/>
      <family val="2"/>
      <charset val="204"/>
    </font>
    <font>
      <sz val="9"/>
      <color rgb="FF222222"/>
      <name val="Verdana"/>
      <family val="2"/>
      <charset val="204"/>
    </font>
    <font>
      <sz val="9"/>
      <color rgb="FF363636"/>
      <name val="Verdana"/>
      <family val="2"/>
      <charset val="204"/>
    </font>
    <font>
      <sz val="9"/>
      <color indexed="8"/>
      <name val="AcadNusx"/>
    </font>
    <font>
      <sz val="9"/>
      <color rgb="FFFF0000"/>
      <name val="Sylfaen"/>
      <family val="1"/>
      <charset val="204"/>
    </font>
    <font>
      <sz val="9"/>
      <color rgb="FF000000"/>
      <name val="Calibri"/>
      <family val="2"/>
      <charset val="204"/>
      <scheme val="minor"/>
    </font>
    <font>
      <sz val="9"/>
      <name val="AcadNusx"/>
    </font>
    <font>
      <b/>
      <sz val="9"/>
      <color rgb="FF000000"/>
      <name val="Sylfaen"/>
      <family val="1"/>
      <charset val="204"/>
    </font>
    <font>
      <sz val="9"/>
      <name val="Calibri"/>
      <family val="2"/>
    </font>
    <font>
      <sz val="9"/>
      <color rgb="FF222222"/>
      <name val="Sylfaen"/>
      <family val="1"/>
      <charset val="204"/>
    </font>
    <font>
      <b/>
      <sz val="9"/>
      <color rgb="FF222222"/>
      <name val="Sylfaen"/>
      <family val="1"/>
      <charset val="204"/>
    </font>
    <font>
      <b/>
      <sz val="9"/>
      <color rgb="FF363636"/>
      <name val="Sylfaen"/>
      <family val="1"/>
      <charset val="204"/>
    </font>
    <font>
      <sz val="9"/>
      <color rgb="FF363636"/>
      <name val="Sylfaen"/>
      <family val="1"/>
      <charset val="204"/>
    </font>
    <font>
      <sz val="9"/>
      <name val="Sylfaen"/>
      <family val="1"/>
    </font>
    <font>
      <sz val="9"/>
      <name val="Calibri"/>
      <family val="2"/>
      <scheme val="minor"/>
    </font>
    <font>
      <sz val="9"/>
      <name val="Times New Roman"/>
      <family val="1"/>
      <charset val="204"/>
    </font>
    <font>
      <sz val="10"/>
      <color rgb="FF222222"/>
      <name val="Verdana"/>
      <family val="2"/>
      <charset val="204"/>
    </font>
    <font>
      <sz val="8"/>
      <color rgb="FF222222"/>
      <name val="Verdana"/>
      <family val="2"/>
      <charset val="204"/>
    </font>
    <font>
      <sz val="8"/>
      <color theme="1"/>
      <name val="Sylfaen"/>
      <family val="1"/>
      <charset val="204"/>
    </font>
    <font>
      <sz val="8"/>
      <color theme="1"/>
      <name val="Calibri"/>
      <family val="2"/>
      <scheme val="minor"/>
    </font>
    <font>
      <sz val="10"/>
      <color indexed="8"/>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0" fontId="2" fillId="0" borderId="0"/>
    <xf numFmtId="165" fontId="2" fillId="0" borderId="0" applyFont="0" applyFill="0" applyBorder="0" applyAlignment="0" applyProtection="0"/>
    <xf numFmtId="0" fontId="3" fillId="0" borderId="0"/>
    <xf numFmtId="0" fontId="4" fillId="0" borderId="0"/>
    <xf numFmtId="0" fontId="2" fillId="0" borderId="0"/>
    <xf numFmtId="0" fontId="5" fillId="0" borderId="0"/>
    <xf numFmtId="164" fontId="2" fillId="0" borderId="0" applyFont="0" applyFill="0" applyBorder="0" applyAlignment="0" applyProtection="0"/>
    <xf numFmtId="0" fontId="2" fillId="0" borderId="0"/>
    <xf numFmtId="0" fontId="2" fillId="0" borderId="0"/>
    <xf numFmtId="0" fontId="1" fillId="0" borderId="0"/>
  </cellStyleXfs>
  <cellXfs count="212">
    <xf numFmtId="0" fontId="0" fillId="0" borderId="0" xfId="0"/>
    <xf numFmtId="0" fontId="6" fillId="2" borderId="0" xfId="5" applyFont="1" applyFill="1"/>
    <xf numFmtId="49" fontId="6" fillId="2" borderId="0" xfId="5" applyNumberFormat="1" applyFont="1" applyFill="1" applyAlignment="1">
      <alignment horizontal="center"/>
    </xf>
    <xf numFmtId="0" fontId="8" fillId="2" borderId="0" xfId="0" applyFont="1" applyFill="1"/>
    <xf numFmtId="0" fontId="10" fillId="2" borderId="1" xfId="5" applyFont="1" applyFill="1" applyBorder="1" applyAlignment="1">
      <alignment horizontal="center" vertical="center" wrapText="1"/>
    </xf>
    <xf numFmtId="0" fontId="11" fillId="2" borderId="1" xfId="8" applyFont="1" applyFill="1" applyBorder="1" applyAlignment="1">
      <alignment horizontal="center" vertical="center" wrapText="1"/>
    </xf>
    <xf numFmtId="0" fontId="13" fillId="2" borderId="1" xfId="5" applyFont="1" applyFill="1" applyBorder="1" applyAlignment="1">
      <alignment horizontal="center" wrapText="1"/>
    </xf>
    <xf numFmtId="0" fontId="14" fillId="2" borderId="1" xfId="6" applyFont="1" applyFill="1" applyBorder="1" applyAlignment="1">
      <alignment horizontal="center" vertical="center" wrapText="1"/>
    </xf>
    <xf numFmtId="0" fontId="8" fillId="2" borderId="0" xfId="0" applyFont="1" applyFill="1" applyAlignment="1">
      <alignment horizontal="center"/>
    </xf>
    <xf numFmtId="0" fontId="15" fillId="2" borderId="1" xfId="8" applyFont="1" applyFill="1" applyBorder="1" applyAlignment="1">
      <alignment horizontal="center" vertical="center" wrapText="1"/>
    </xf>
    <xf numFmtId="0" fontId="13" fillId="2" borderId="1" xfId="5" applyFont="1" applyFill="1" applyBorder="1" applyAlignment="1">
      <alignment wrapText="1"/>
    </xf>
    <xf numFmtId="49" fontId="13" fillId="2" borderId="1" xfId="5" applyNumberFormat="1" applyFont="1" applyFill="1" applyBorder="1" applyAlignment="1">
      <alignment horizontal="center" wrapText="1"/>
    </xf>
    <xf numFmtId="0" fontId="14" fillId="2" borderId="1" xfId="6" applyFont="1" applyFill="1" applyBorder="1" applyAlignment="1">
      <alignment wrapText="1"/>
    </xf>
    <xf numFmtId="1" fontId="12" fillId="2" borderId="1" xfId="5" applyNumberFormat="1" applyFont="1" applyFill="1" applyBorder="1" applyAlignment="1">
      <alignment horizontal="center" vertical="center" wrapText="1"/>
    </xf>
    <xf numFmtId="0" fontId="12" fillId="2" borderId="1" xfId="5" applyFont="1" applyFill="1" applyBorder="1" applyAlignment="1">
      <alignment wrapText="1"/>
    </xf>
    <xf numFmtId="1" fontId="10" fillId="2" borderId="1" xfId="5" applyNumberFormat="1" applyFont="1" applyFill="1" applyBorder="1" applyAlignment="1">
      <alignment horizontal="center" vertical="center" wrapText="1"/>
    </xf>
    <xf numFmtId="0" fontId="16" fillId="2" borderId="1" xfId="5" applyFont="1" applyFill="1" applyBorder="1" applyAlignment="1">
      <alignment wrapText="1"/>
    </xf>
    <xf numFmtId="0" fontId="10" fillId="2" borderId="1" xfId="5" applyFont="1" applyFill="1" applyBorder="1" applyAlignment="1">
      <alignment wrapText="1"/>
    </xf>
    <xf numFmtId="49" fontId="16" fillId="2" borderId="1" xfId="5" applyNumberFormat="1" applyFont="1" applyFill="1" applyBorder="1" applyAlignment="1">
      <alignment horizontal="center" wrapText="1"/>
    </xf>
    <xf numFmtId="0" fontId="17" fillId="2" borderId="1" xfId="6" applyFont="1" applyFill="1" applyBorder="1" applyAlignment="1">
      <alignment wrapText="1"/>
    </xf>
    <xf numFmtId="0" fontId="18" fillId="2" borderId="0" xfId="0" applyFont="1" applyFill="1"/>
    <xf numFmtId="49" fontId="12" fillId="2" borderId="1" xfId="5" applyNumberFormat="1" applyFont="1" applyFill="1" applyBorder="1" applyAlignment="1">
      <alignment wrapText="1"/>
    </xf>
    <xf numFmtId="49" fontId="12" fillId="2" borderId="1" xfId="5" applyNumberFormat="1" applyFont="1" applyFill="1" applyBorder="1" applyAlignment="1">
      <alignment horizontal="center"/>
    </xf>
    <xf numFmtId="0" fontId="12" fillId="2" borderId="1" xfId="5" applyFont="1" applyFill="1" applyBorder="1"/>
    <xf numFmtId="1" fontId="13" fillId="2" borderId="1" xfId="5" applyNumberFormat="1" applyFont="1" applyFill="1" applyBorder="1" applyAlignment="1">
      <alignment horizontal="center" vertical="center" wrapText="1"/>
    </xf>
    <xf numFmtId="0" fontId="19" fillId="2" borderId="1" xfId="0" applyNumberFormat="1" applyFont="1" applyFill="1" applyBorder="1" applyAlignment="1">
      <alignment vertical="top" wrapText="1" readingOrder="1"/>
    </xf>
    <xf numFmtId="167" fontId="14" fillId="2" borderId="1" xfId="6" applyNumberFormat="1" applyFont="1" applyFill="1" applyBorder="1" applyAlignment="1">
      <alignment wrapText="1"/>
    </xf>
    <xf numFmtId="0" fontId="16" fillId="2" borderId="1" xfId="5" applyFont="1" applyFill="1" applyBorder="1" applyAlignment="1">
      <alignment horizontal="center" vertical="center" wrapText="1"/>
    </xf>
    <xf numFmtId="0" fontId="19" fillId="2" borderId="1" xfId="5" applyNumberFormat="1" applyFont="1" applyFill="1" applyBorder="1" applyAlignment="1">
      <alignment horizontal="center" vertical="center" wrapText="1" readingOrder="1"/>
    </xf>
    <xf numFmtId="0" fontId="13" fillId="2" borderId="1" xfId="5" applyFont="1" applyFill="1" applyBorder="1" applyAlignment="1">
      <alignment horizontal="left" vertical="center" wrapText="1"/>
    </xf>
    <xf numFmtId="167" fontId="12" fillId="2" borderId="1" xfId="5" applyNumberFormat="1" applyFont="1" applyFill="1" applyBorder="1"/>
    <xf numFmtId="16" fontId="14" fillId="2" borderId="1" xfId="6" applyNumberFormat="1" applyFont="1" applyFill="1" applyBorder="1" applyAlignment="1">
      <alignment wrapText="1"/>
    </xf>
    <xf numFmtId="167" fontId="6" fillId="2" borderId="1" xfId="5" applyNumberFormat="1" applyFont="1" applyFill="1" applyBorder="1" applyAlignment="1">
      <alignment wrapText="1"/>
    </xf>
    <xf numFmtId="0" fontId="11" fillId="2" borderId="1" xfId="5" applyFont="1" applyFill="1" applyBorder="1" applyAlignment="1">
      <alignment wrapText="1"/>
    </xf>
    <xf numFmtId="0" fontId="19" fillId="2" borderId="1" xfId="5" applyNumberFormat="1" applyFont="1" applyFill="1" applyBorder="1" applyAlignment="1">
      <alignment vertical="top" wrapText="1" readingOrder="1"/>
    </xf>
    <xf numFmtId="0" fontId="19" fillId="2" borderId="1" xfId="6" applyNumberFormat="1" applyFont="1" applyFill="1" applyBorder="1" applyAlignment="1">
      <alignment vertical="top" wrapText="1" readingOrder="1"/>
    </xf>
    <xf numFmtId="167" fontId="12" fillId="2" borderId="1" xfId="5" applyNumberFormat="1" applyFont="1" applyFill="1" applyBorder="1" applyAlignment="1">
      <alignment wrapText="1"/>
    </xf>
    <xf numFmtId="0" fontId="19" fillId="2" borderId="1" xfId="6" applyNumberFormat="1" applyFont="1" applyFill="1" applyBorder="1" applyAlignment="1">
      <alignment vertical="center" wrapText="1" readingOrder="1"/>
    </xf>
    <xf numFmtId="0" fontId="12" fillId="2" borderId="1" xfId="5" applyFont="1" applyFill="1" applyBorder="1" applyAlignment="1">
      <alignment horizontal="left" vertical="center" wrapText="1"/>
    </xf>
    <xf numFmtId="0" fontId="23" fillId="2" borderId="1" xfId="0" applyFont="1" applyFill="1" applyBorder="1" applyAlignment="1">
      <alignment wrapText="1"/>
    </xf>
    <xf numFmtId="0" fontId="24" fillId="2" borderId="1" xfId="0" applyFont="1" applyFill="1" applyBorder="1" applyAlignment="1">
      <alignment wrapText="1"/>
    </xf>
    <xf numFmtId="0" fontId="21" fillId="2" borderId="1" xfId="0" applyFont="1" applyFill="1" applyBorder="1" applyAlignment="1">
      <alignment horizontal="center" vertical="center" wrapText="1"/>
    </xf>
    <xf numFmtId="49" fontId="11" fillId="2" borderId="1" xfId="5" applyNumberFormat="1" applyFont="1" applyFill="1" applyBorder="1" applyAlignment="1">
      <alignment horizontal="center"/>
    </xf>
    <xf numFmtId="0" fontId="21" fillId="2" borderId="1" xfId="0" applyFont="1" applyFill="1" applyBorder="1" applyAlignment="1">
      <alignment horizontal="left" vertical="center" wrapText="1"/>
    </xf>
    <xf numFmtId="49" fontId="11" fillId="2" borderId="1" xfId="8" applyNumberFormat="1" applyFont="1" applyFill="1" applyBorder="1" applyAlignment="1">
      <alignment horizontal="center" wrapText="1"/>
    </xf>
    <xf numFmtId="49" fontId="21" fillId="2" borderId="1" xfId="5" applyNumberFormat="1" applyFont="1" applyFill="1" applyBorder="1" applyAlignment="1">
      <alignment horizontal="center" vertical="center" wrapText="1"/>
    </xf>
    <xf numFmtId="14" fontId="13" fillId="2" borderId="1" xfId="5" applyNumberFormat="1" applyFont="1" applyFill="1" applyBorder="1" applyAlignment="1">
      <alignment horizontal="left" vertical="center" wrapText="1"/>
    </xf>
    <xf numFmtId="49" fontId="19" fillId="2" borderId="1" xfId="5" applyNumberFormat="1" applyFont="1" applyFill="1" applyBorder="1" applyAlignment="1">
      <alignment horizontal="center" vertical="top" wrapText="1" readingOrder="1"/>
    </xf>
    <xf numFmtId="0" fontId="12" fillId="2" borderId="1" xfId="5" applyFont="1" applyFill="1" applyBorder="1" applyAlignment="1">
      <alignment vertical="center" wrapText="1"/>
    </xf>
    <xf numFmtId="49" fontId="21" fillId="2" borderId="1" xfId="5" applyNumberFormat="1" applyFont="1" applyFill="1" applyBorder="1" applyAlignment="1">
      <alignment horizontal="left" vertical="center" wrapText="1"/>
    </xf>
    <xf numFmtId="0" fontId="14" fillId="2" borderId="1" xfId="5" applyFont="1" applyFill="1" applyBorder="1" applyAlignment="1">
      <alignment wrapText="1"/>
    </xf>
    <xf numFmtId="49" fontId="19" fillId="2" borderId="1" xfId="0" applyNumberFormat="1" applyFont="1" applyFill="1" applyBorder="1" applyAlignment="1">
      <alignment horizontal="center" vertical="top" wrapText="1" readingOrder="1"/>
    </xf>
    <xf numFmtId="49" fontId="13" fillId="2" borderId="1" xfId="5" applyNumberFormat="1" applyFont="1" applyFill="1" applyBorder="1" applyAlignment="1">
      <alignment horizontal="left" vertical="center" wrapText="1"/>
    </xf>
    <xf numFmtId="2" fontId="25" fillId="2" borderId="1" xfId="0" applyNumberFormat="1" applyFont="1" applyFill="1" applyBorder="1" applyAlignment="1">
      <alignment horizontal="center" vertical="center" wrapText="1"/>
    </xf>
    <xf numFmtId="49" fontId="10" fillId="2" borderId="1" xfId="5" applyNumberFormat="1" applyFont="1" applyFill="1" applyBorder="1" applyAlignment="1">
      <alignment horizontal="center" vertical="center" wrapText="1"/>
    </xf>
    <xf numFmtId="0" fontId="10" fillId="2" borderId="1" xfId="5" applyFont="1" applyFill="1" applyBorder="1" applyAlignment="1">
      <alignment horizontal="center" vertical="center"/>
    </xf>
    <xf numFmtId="49" fontId="19" fillId="2" borderId="1" xfId="6" applyNumberFormat="1" applyFont="1" applyFill="1" applyBorder="1" applyAlignment="1">
      <alignment horizontal="center" vertical="top" wrapText="1" readingOrder="1"/>
    </xf>
    <xf numFmtId="167" fontId="26" fillId="2" borderId="1" xfId="5" applyNumberFormat="1" applyFont="1" applyFill="1" applyBorder="1" applyAlignment="1">
      <alignment wrapText="1"/>
    </xf>
    <xf numFmtId="167" fontId="14" fillId="2" borderId="1" xfId="5" applyNumberFormat="1" applyFont="1" applyFill="1" applyBorder="1" applyAlignment="1">
      <alignment wrapText="1"/>
    </xf>
    <xf numFmtId="0" fontId="13" fillId="2" borderId="1" xfId="6" applyFont="1" applyFill="1" applyBorder="1" applyAlignment="1">
      <alignment horizontal="center" vertical="center" wrapText="1"/>
    </xf>
    <xf numFmtId="0" fontId="27" fillId="2" borderId="1" xfId="5" applyFont="1" applyFill="1" applyBorder="1" applyAlignment="1">
      <alignment wrapText="1"/>
    </xf>
    <xf numFmtId="0" fontId="19" fillId="2" borderId="1" xfId="5" applyNumberFormat="1" applyFont="1" applyFill="1" applyBorder="1" applyAlignment="1">
      <alignment horizontal="left" vertical="center" wrapText="1" readingOrder="1"/>
    </xf>
    <xf numFmtId="0" fontId="19" fillId="2" borderId="1" xfId="5" applyNumberFormat="1" applyFont="1" applyFill="1" applyBorder="1" applyAlignment="1">
      <alignment vertical="top" wrapText="1"/>
    </xf>
    <xf numFmtId="0" fontId="19" fillId="2" borderId="1" xfId="5" applyFont="1" applyFill="1" applyBorder="1" applyAlignment="1">
      <alignment horizontal="center" vertical="center" wrapText="1"/>
    </xf>
    <xf numFmtId="0" fontId="28" fillId="2" borderId="1" xfId="5" applyFont="1" applyFill="1" applyBorder="1" applyAlignment="1">
      <alignment horizontal="center" vertical="center" wrapText="1"/>
    </xf>
    <xf numFmtId="0" fontId="29" fillId="2" borderId="1" xfId="5" applyFont="1" applyFill="1" applyBorder="1" applyAlignment="1">
      <alignment horizontal="center" vertical="center" wrapText="1"/>
    </xf>
    <xf numFmtId="49" fontId="10" fillId="2" borderId="1" xfId="5" applyNumberFormat="1" applyFont="1" applyFill="1" applyBorder="1" applyAlignment="1">
      <alignment horizontal="center"/>
    </xf>
    <xf numFmtId="0" fontId="10" fillId="2" borderId="1" xfId="5" applyFont="1" applyFill="1" applyBorder="1"/>
    <xf numFmtId="49" fontId="10" fillId="2" borderId="1" xfId="5" applyNumberFormat="1" applyFont="1" applyFill="1" applyBorder="1" applyAlignment="1">
      <alignment wrapText="1"/>
    </xf>
    <xf numFmtId="0" fontId="30" fillId="2" borderId="1" xfId="5" applyFont="1" applyFill="1" applyBorder="1" applyAlignment="1">
      <alignment horizontal="center" vertical="center" wrapText="1"/>
    </xf>
    <xf numFmtId="14" fontId="12" fillId="2" borderId="1" xfId="5" applyNumberFormat="1" applyFont="1" applyFill="1" applyBorder="1" applyAlignment="1">
      <alignment wrapText="1"/>
    </xf>
    <xf numFmtId="0" fontId="31" fillId="2" borderId="1" xfId="5" applyFont="1" applyFill="1" applyBorder="1" applyAlignment="1">
      <alignment horizontal="center" vertical="center" wrapText="1"/>
    </xf>
    <xf numFmtId="14" fontId="11" fillId="2" borderId="1" xfId="8" applyNumberFormat="1" applyFont="1" applyFill="1" applyBorder="1" applyAlignment="1">
      <alignment horizontal="right" wrapText="1"/>
    </xf>
    <xf numFmtId="167" fontId="10" fillId="2" borderId="1" xfId="5" applyNumberFormat="1" applyFont="1" applyFill="1" applyBorder="1" applyAlignment="1">
      <alignment wrapText="1"/>
    </xf>
    <xf numFmtId="167" fontId="21" fillId="2" borderId="1" xfId="5" applyNumberFormat="1" applyFont="1" applyFill="1" applyBorder="1" applyAlignment="1">
      <alignment horizontal="center" vertical="center" wrapText="1"/>
    </xf>
    <xf numFmtId="0" fontId="14" fillId="2" borderId="1" xfId="5" applyFont="1" applyFill="1" applyBorder="1" applyAlignment="1">
      <alignment horizontal="center" vertical="center" wrapText="1"/>
    </xf>
    <xf numFmtId="0" fontId="32" fillId="2" borderId="1" xfId="5" applyFont="1" applyFill="1" applyBorder="1" applyAlignment="1">
      <alignment horizontal="center" vertical="center" wrapText="1"/>
    </xf>
    <xf numFmtId="0" fontId="33" fillId="2" borderId="1" xfId="5" applyFont="1" applyFill="1" applyBorder="1" applyAlignment="1">
      <alignment horizontal="center" vertical="center" wrapText="1"/>
    </xf>
    <xf numFmtId="0" fontId="34" fillId="2" borderId="1" xfId="5" applyFont="1" applyFill="1" applyBorder="1" applyAlignment="1">
      <alignment horizontal="center" vertical="center" wrapText="1"/>
    </xf>
    <xf numFmtId="0" fontId="11" fillId="2" borderId="1" xfId="5" applyNumberFormat="1" applyFont="1" applyFill="1" applyBorder="1" applyAlignment="1">
      <alignment horizontal="center" vertical="center" wrapText="1" readingOrder="1"/>
    </xf>
    <xf numFmtId="49" fontId="35" fillId="2" borderId="1" xfId="5" applyNumberFormat="1" applyFont="1" applyFill="1" applyBorder="1" applyAlignment="1">
      <alignment horizontal="center" vertical="center" wrapText="1"/>
    </xf>
    <xf numFmtId="167" fontId="36" fillId="2" borderId="1" xfId="6" applyNumberFormat="1" applyFont="1" applyFill="1" applyBorder="1" applyAlignment="1">
      <alignment wrapText="1"/>
    </xf>
    <xf numFmtId="0" fontId="19" fillId="2" borderId="1" xfId="0" applyNumberFormat="1" applyFont="1" applyFill="1" applyBorder="1" applyAlignment="1">
      <alignment vertical="center" wrapText="1" readingOrder="1"/>
    </xf>
    <xf numFmtId="0" fontId="19" fillId="2" borderId="1" xfId="5" applyNumberFormat="1" applyFont="1" applyFill="1" applyBorder="1" applyAlignment="1">
      <alignment vertical="center" wrapText="1" readingOrder="1"/>
    </xf>
    <xf numFmtId="0" fontId="14" fillId="2" borderId="1" xfId="0" applyFont="1" applyFill="1" applyBorder="1" applyAlignment="1">
      <alignment wrapText="1"/>
    </xf>
    <xf numFmtId="0" fontId="19" fillId="2" borderId="1" xfId="5" applyNumberFormat="1" applyFont="1" applyFill="1" applyBorder="1" applyAlignment="1">
      <alignment horizontal="center" vertical="center" wrapText="1"/>
    </xf>
    <xf numFmtId="49" fontId="19" fillId="2" borderId="1" xfId="5" applyNumberFormat="1" applyFont="1" applyFill="1" applyBorder="1" applyAlignment="1">
      <alignment horizontal="center" vertical="center" wrapText="1" readingOrder="1"/>
    </xf>
    <xf numFmtId="0" fontId="8" fillId="2" borderId="1" xfId="6" applyFont="1" applyFill="1" applyBorder="1" applyAlignment="1">
      <alignment wrapText="1"/>
    </xf>
    <xf numFmtId="0" fontId="11" fillId="2" borderId="1" xfId="0" applyFont="1" applyFill="1" applyBorder="1" applyAlignment="1">
      <alignment horizontal="left" vertical="center" wrapText="1"/>
    </xf>
    <xf numFmtId="0" fontId="21" fillId="2" borderId="1" xfId="3" applyFont="1" applyFill="1" applyBorder="1" applyAlignment="1">
      <alignment horizontal="center" vertical="center" wrapText="1"/>
    </xf>
    <xf numFmtId="49" fontId="8" fillId="2" borderId="0" xfId="0" applyNumberFormat="1" applyFont="1" applyFill="1" applyAlignment="1">
      <alignment horizontal="center"/>
    </xf>
    <xf numFmtId="49" fontId="41" fillId="2" borderId="1" xfId="0" applyNumberFormat="1" applyFont="1" applyFill="1" applyBorder="1" applyAlignment="1">
      <alignment wrapText="1"/>
    </xf>
    <xf numFmtId="49" fontId="12" fillId="2" borderId="1" xfId="5" applyNumberFormat="1" applyFont="1" applyFill="1" applyBorder="1" applyAlignment="1">
      <alignment horizontal="center" vertical="center"/>
    </xf>
    <xf numFmtId="0" fontId="21" fillId="2" borderId="1" xfId="6" applyFont="1" applyFill="1" applyBorder="1" applyAlignment="1">
      <alignment horizontal="center" vertical="center" wrapText="1"/>
    </xf>
    <xf numFmtId="49" fontId="12" fillId="2" borderId="1" xfId="5" applyNumberFormat="1" applyFont="1" applyFill="1" applyBorder="1" applyAlignment="1">
      <alignment horizontal="center" vertical="center" wrapText="1"/>
    </xf>
    <xf numFmtId="49" fontId="13" fillId="2" borderId="1" xfId="5" applyNumberFormat="1" applyFont="1" applyFill="1" applyBorder="1" applyAlignment="1">
      <alignment horizontal="center" vertical="center"/>
    </xf>
    <xf numFmtId="0" fontId="13" fillId="2" borderId="1"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7" fillId="2" borderId="1" xfId="5" applyFont="1" applyFill="1" applyBorder="1" applyAlignment="1">
      <alignment horizontal="center" vertical="center" wrapText="1"/>
    </xf>
    <xf numFmtId="0" fontId="11" fillId="2" borderId="1" xfId="5" applyFont="1" applyFill="1" applyBorder="1" applyAlignment="1">
      <alignment horizontal="center" vertical="center" wrapText="1"/>
    </xf>
    <xf numFmtId="49" fontId="13" fillId="2" borderId="1" xfId="5" applyNumberFormat="1" applyFont="1" applyFill="1" applyBorder="1" applyAlignment="1">
      <alignment horizontal="center" vertical="center" wrapText="1"/>
    </xf>
    <xf numFmtId="0" fontId="21" fillId="2" borderId="1" xfId="5" applyFont="1" applyFill="1" applyBorder="1" applyAlignment="1">
      <alignment horizontal="center" vertical="center" wrapText="1"/>
    </xf>
    <xf numFmtId="0" fontId="19" fillId="2" borderId="1" xfId="0" applyNumberFormat="1" applyFont="1" applyFill="1" applyBorder="1" applyAlignment="1">
      <alignment horizontal="center" vertical="center" wrapText="1" readingOrder="1"/>
    </xf>
    <xf numFmtId="0" fontId="19" fillId="2" borderId="1" xfId="6" applyNumberFormat="1" applyFont="1" applyFill="1" applyBorder="1" applyAlignment="1">
      <alignment horizontal="center" vertical="center" wrapText="1" readingOrder="1"/>
    </xf>
    <xf numFmtId="14" fontId="13" fillId="2" borderId="1" xfId="5"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49" fontId="13" fillId="2" borderId="1" xfId="5" applyNumberFormat="1" applyFont="1" applyFill="1" applyBorder="1" applyAlignment="1">
      <alignment horizontal="center" vertical="center"/>
    </xf>
    <xf numFmtId="0" fontId="13" fillId="2" borderId="1" xfId="5" applyFont="1" applyFill="1" applyBorder="1" applyAlignment="1">
      <alignment horizontal="center" vertical="center" wrapText="1"/>
    </xf>
    <xf numFmtId="49" fontId="13" fillId="2" borderId="1" xfId="5"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0" fontId="11" fillId="2" borderId="1" xfId="5" applyFont="1" applyFill="1" applyBorder="1" applyAlignment="1">
      <alignment horizontal="center" vertical="center" wrapText="1"/>
    </xf>
    <xf numFmtId="0" fontId="8" fillId="2" borderId="0" xfId="0" applyFont="1" applyFill="1" applyBorder="1"/>
    <xf numFmtId="0" fontId="8" fillId="2" borderId="0" xfId="0" applyFont="1" applyFill="1" applyBorder="1" applyAlignment="1">
      <alignment horizontal="center"/>
    </xf>
    <xf numFmtId="168" fontId="8" fillId="2" borderId="0" xfId="0" applyNumberFormat="1" applyFont="1" applyFill="1" applyBorder="1"/>
    <xf numFmtId="0" fontId="18" fillId="2" borderId="0" xfId="0" applyFont="1" applyFill="1" applyBorder="1"/>
    <xf numFmtId="167" fontId="12" fillId="2" borderId="0" xfId="5" applyNumberFormat="1" applyFont="1" applyFill="1" applyBorder="1" applyAlignment="1">
      <alignment horizontal="center" vertical="center" wrapText="1"/>
    </xf>
    <xf numFmtId="167" fontId="8" fillId="2" borderId="0" xfId="0" applyNumberFormat="1" applyFont="1" applyFill="1" applyBorder="1"/>
    <xf numFmtId="167" fontId="20" fillId="2" borderId="0" xfId="0" applyNumberFormat="1" applyFont="1" applyFill="1" applyBorder="1"/>
    <xf numFmtId="167" fontId="13" fillId="2" borderId="0" xfId="5" applyNumberFormat="1" applyFont="1" applyFill="1" applyBorder="1" applyAlignment="1">
      <alignment horizontal="center" vertical="center"/>
    </xf>
    <xf numFmtId="167" fontId="12" fillId="2" borderId="0" xfId="5" applyNumberFormat="1" applyFont="1" applyFill="1" applyBorder="1"/>
    <xf numFmtId="167" fontId="12" fillId="2" borderId="0" xfId="5" applyNumberFormat="1" applyFont="1" applyFill="1" applyBorder="1" applyAlignment="1">
      <alignment wrapText="1"/>
    </xf>
    <xf numFmtId="169" fontId="8" fillId="2" borderId="0" xfId="0" applyNumberFormat="1" applyFont="1" applyFill="1" applyBorder="1"/>
    <xf numFmtId="1" fontId="12" fillId="2" borderId="1" xfId="5" applyNumberFormat="1" applyFont="1" applyFill="1" applyBorder="1" applyAlignment="1">
      <alignment horizontal="center" vertical="center" wrapText="1"/>
    </xf>
    <xf numFmtId="49" fontId="12" fillId="2" borderId="1" xfId="5" applyNumberFormat="1" applyFont="1" applyFill="1" applyBorder="1" applyAlignment="1">
      <alignment horizontal="center"/>
    </xf>
    <xf numFmtId="0" fontId="19" fillId="2" borderId="1" xfId="0" applyFont="1" applyFill="1" applyBorder="1" applyAlignment="1">
      <alignment horizontal="center" vertical="center" wrapText="1"/>
    </xf>
    <xf numFmtId="0" fontId="38" fillId="2" borderId="1" xfId="0" applyFont="1" applyFill="1" applyBorder="1" applyAlignment="1">
      <alignment wrapText="1"/>
    </xf>
    <xf numFmtId="0" fontId="39" fillId="2" borderId="1" xfId="0" applyFont="1" applyFill="1" applyBorder="1" applyAlignment="1">
      <alignment wrapText="1"/>
    </xf>
    <xf numFmtId="0" fontId="40" fillId="2" borderId="1" xfId="0" applyFont="1" applyFill="1" applyBorder="1" applyAlignment="1">
      <alignment wrapText="1"/>
    </xf>
    <xf numFmtId="0" fontId="39" fillId="0" borderId="0" xfId="0" applyFont="1" applyAlignment="1">
      <alignment wrapText="1"/>
    </xf>
    <xf numFmtId="9" fontId="13" fillId="2" borderId="1" xfId="5" applyNumberFormat="1" applyFont="1" applyFill="1" applyBorder="1" applyAlignment="1">
      <alignment horizontal="center" vertical="center" wrapText="1"/>
    </xf>
    <xf numFmtId="166" fontId="7" fillId="2" borderId="0" xfId="5" applyNumberFormat="1" applyFont="1" applyFill="1" applyAlignment="1">
      <alignment horizontal="center" vertical="center" wrapText="1"/>
    </xf>
    <xf numFmtId="0" fontId="13" fillId="2" borderId="1" xfId="5" applyFont="1" applyFill="1" applyBorder="1" applyAlignment="1">
      <alignment horizontal="center" vertical="center" wrapText="1"/>
    </xf>
    <xf numFmtId="1" fontId="12" fillId="2" borderId="1" xfId="5" applyNumberFormat="1" applyFont="1" applyFill="1" applyBorder="1" applyAlignment="1">
      <alignment horizontal="center" vertical="center" wrapText="1"/>
    </xf>
    <xf numFmtId="168" fontId="6" fillId="2" borderId="0" xfId="5" applyNumberFormat="1" applyFont="1" applyFill="1"/>
    <xf numFmtId="168" fontId="7" fillId="2" borderId="0" xfId="5" applyNumberFormat="1" applyFont="1" applyFill="1" applyAlignment="1">
      <alignment horizontal="center" vertical="center" wrapText="1"/>
    </xf>
    <xf numFmtId="168" fontId="11" fillId="2" borderId="1" xfId="8" applyNumberFormat="1" applyFont="1" applyFill="1" applyBorder="1" applyAlignment="1">
      <alignment horizontal="center" vertical="center" wrapText="1"/>
    </xf>
    <xf numFmtId="168" fontId="12" fillId="2" borderId="1" xfId="5" applyNumberFormat="1" applyFont="1" applyFill="1" applyBorder="1" applyAlignment="1">
      <alignment horizontal="center" vertical="center" wrapText="1"/>
    </xf>
    <xf numFmtId="168" fontId="11" fillId="2" borderId="1" xfId="8" applyNumberFormat="1" applyFont="1" applyFill="1" applyBorder="1" applyAlignment="1">
      <alignment wrapText="1"/>
    </xf>
    <xf numFmtId="168" fontId="15" fillId="2" borderId="1" xfId="8" applyNumberFormat="1" applyFont="1" applyFill="1" applyBorder="1" applyAlignment="1">
      <alignment horizontal="center" vertical="center" wrapText="1"/>
    </xf>
    <xf numFmtId="168" fontId="13" fillId="2" borderId="1" xfId="5" applyNumberFormat="1" applyFont="1" applyFill="1" applyBorder="1" applyAlignment="1">
      <alignment horizontal="center" vertical="center"/>
    </xf>
    <xf numFmtId="168" fontId="12" fillId="2" borderId="1" xfId="5" applyNumberFormat="1" applyFont="1" applyFill="1" applyBorder="1"/>
    <xf numFmtId="168" fontId="12" fillId="2" borderId="1" xfId="5" applyNumberFormat="1" applyFont="1" applyFill="1" applyBorder="1" applyAlignment="1">
      <alignment horizontal="center" vertical="center"/>
    </xf>
    <xf numFmtId="168" fontId="12" fillId="2" borderId="1" xfId="5" applyNumberFormat="1" applyFont="1" applyFill="1" applyBorder="1" applyAlignment="1">
      <alignment wrapText="1"/>
    </xf>
    <xf numFmtId="168" fontId="12" fillId="2" borderId="1" xfId="5" applyNumberFormat="1" applyFont="1" applyFill="1" applyBorder="1" applyAlignment="1">
      <alignment vertical="center" wrapText="1"/>
    </xf>
    <xf numFmtId="168" fontId="13" fillId="2" borderId="1" xfId="5" applyNumberFormat="1" applyFont="1" applyFill="1" applyBorder="1" applyAlignment="1">
      <alignment horizontal="right" wrapText="1"/>
    </xf>
    <xf numFmtId="168" fontId="21" fillId="2" borderId="1" xfId="6" applyNumberFormat="1" applyFont="1" applyFill="1" applyBorder="1" applyAlignment="1">
      <alignment horizontal="center" vertical="center" wrapText="1"/>
    </xf>
    <xf numFmtId="168" fontId="11" fillId="2" borderId="1" xfId="8" applyNumberFormat="1" applyFont="1" applyFill="1" applyBorder="1"/>
    <xf numFmtId="168" fontId="13" fillId="2" borderId="1" xfId="5" applyNumberFormat="1" applyFont="1" applyFill="1" applyBorder="1" applyAlignment="1">
      <alignment horizontal="center" vertical="center" wrapText="1"/>
    </xf>
    <xf numFmtId="168" fontId="6" fillId="2" borderId="1" xfId="5" applyNumberFormat="1" applyFont="1" applyFill="1" applyBorder="1"/>
    <xf numFmtId="168" fontId="11" fillId="2" borderId="1" xfId="5" applyNumberFormat="1" applyFont="1" applyFill="1" applyBorder="1"/>
    <xf numFmtId="168" fontId="12" fillId="2" borderId="1" xfId="5" applyNumberFormat="1" applyFont="1" applyFill="1" applyBorder="1" applyAlignment="1">
      <alignment horizontal="left" vertical="center" wrapText="1"/>
    </xf>
    <xf numFmtId="168" fontId="13" fillId="2" borderId="1" xfId="5" applyNumberFormat="1" applyFont="1" applyFill="1" applyBorder="1"/>
    <xf numFmtId="168" fontId="8" fillId="2" borderId="1" xfId="0" applyNumberFormat="1" applyFont="1" applyFill="1" applyBorder="1"/>
    <xf numFmtId="168" fontId="11" fillId="2" borderId="1" xfId="8" applyNumberFormat="1" applyFont="1" applyFill="1" applyBorder="1" applyAlignment="1">
      <alignment horizontal="right"/>
    </xf>
    <xf numFmtId="168" fontId="12" fillId="2" borderId="1" xfId="5" applyNumberFormat="1" applyFont="1" applyFill="1" applyBorder="1" applyAlignment="1"/>
    <xf numFmtId="168" fontId="10" fillId="2" borderId="1" xfId="5" applyNumberFormat="1" applyFont="1" applyFill="1" applyBorder="1" applyAlignment="1">
      <alignment horizontal="center" vertical="center" wrapText="1"/>
    </xf>
    <xf numFmtId="168" fontId="10" fillId="2" borderId="1" xfId="5" applyNumberFormat="1" applyFont="1" applyFill="1" applyBorder="1" applyAlignment="1"/>
    <xf numFmtId="168" fontId="16" fillId="2" borderId="1" xfId="5" applyNumberFormat="1" applyFont="1" applyFill="1" applyBorder="1" applyAlignment="1">
      <alignment horizontal="center" vertical="center" wrapText="1"/>
    </xf>
    <xf numFmtId="168" fontId="15" fillId="2" borderId="1" xfId="8" applyNumberFormat="1" applyFont="1" applyFill="1" applyBorder="1" applyAlignment="1">
      <alignment wrapText="1"/>
    </xf>
    <xf numFmtId="168" fontId="26" fillId="2" borderId="1" xfId="8" applyNumberFormat="1" applyFont="1" applyFill="1" applyBorder="1" applyAlignment="1">
      <alignment horizontal="center" vertical="center" wrapText="1"/>
    </xf>
    <xf numFmtId="168" fontId="13" fillId="2" borderId="1" xfId="5" applyNumberFormat="1" applyFont="1" applyFill="1" applyBorder="1" applyAlignment="1">
      <alignment horizontal="left" vertical="center" wrapText="1"/>
    </xf>
    <xf numFmtId="168" fontId="19" fillId="2" borderId="1" xfId="0" applyNumberFormat="1" applyFont="1" applyFill="1" applyBorder="1" applyAlignment="1">
      <alignment horizontal="right" vertical="top" wrapText="1" readingOrder="1"/>
    </xf>
    <xf numFmtId="168" fontId="8" fillId="2" borderId="1" xfId="6" applyNumberFormat="1" applyFont="1" applyFill="1" applyBorder="1"/>
    <xf numFmtId="168" fontId="8" fillId="2" borderId="0" xfId="0" applyNumberFormat="1" applyFont="1" applyFill="1"/>
    <xf numFmtId="168" fontId="42" fillId="2" borderId="0" xfId="5" applyNumberFormat="1" applyFont="1" applyFill="1"/>
    <xf numFmtId="0" fontId="14" fillId="2" borderId="2" xfId="6" applyFont="1" applyFill="1" applyBorder="1" applyAlignment="1">
      <alignment horizontal="center" wrapText="1"/>
    </xf>
    <xf numFmtId="0" fontId="14" fillId="2" borderId="3" xfId="6" applyFont="1" applyFill="1" applyBorder="1" applyAlignment="1">
      <alignment horizontal="center" wrapText="1"/>
    </xf>
    <xf numFmtId="0" fontId="8" fillId="2" borderId="2" xfId="6" applyFont="1" applyFill="1" applyBorder="1" applyAlignment="1">
      <alignment horizontal="center" wrapText="1"/>
    </xf>
    <xf numFmtId="0" fontId="8" fillId="2" borderId="3" xfId="6" applyFont="1" applyFill="1" applyBorder="1" applyAlignment="1">
      <alignment horizontal="center" wrapText="1"/>
    </xf>
    <xf numFmtId="1" fontId="12" fillId="2" borderId="2" xfId="5" applyNumberFormat="1" applyFont="1" applyFill="1" applyBorder="1" applyAlignment="1">
      <alignment horizontal="center" vertical="center" wrapText="1"/>
    </xf>
    <xf numFmtId="1" fontId="12" fillId="2" borderId="3" xfId="5" applyNumberFormat="1" applyFont="1" applyFill="1" applyBorder="1" applyAlignment="1">
      <alignment horizontal="center" vertical="center" wrapText="1"/>
    </xf>
    <xf numFmtId="0" fontId="12" fillId="2" borderId="2" xfId="5" applyFont="1" applyFill="1" applyBorder="1" applyAlignment="1">
      <alignment horizontal="center" vertical="center" wrapText="1"/>
    </xf>
    <xf numFmtId="0" fontId="12" fillId="2" borderId="3" xfId="5" applyFont="1" applyFill="1" applyBorder="1" applyAlignment="1">
      <alignment horizontal="center" vertical="center" wrapText="1"/>
    </xf>
    <xf numFmtId="49" fontId="12" fillId="2" borderId="2" xfId="5" applyNumberFormat="1" applyFont="1" applyFill="1" applyBorder="1" applyAlignment="1">
      <alignment horizontal="center"/>
    </xf>
    <xf numFmtId="49" fontId="12" fillId="2" borderId="3" xfId="5" applyNumberFormat="1" applyFont="1" applyFill="1" applyBorder="1" applyAlignment="1">
      <alignment horizontal="center"/>
    </xf>
    <xf numFmtId="49" fontId="12" fillId="2" borderId="1" xfId="5" applyNumberFormat="1" applyFont="1" applyFill="1" applyBorder="1" applyAlignment="1">
      <alignment horizontal="center" vertical="center" wrapText="1"/>
    </xf>
    <xf numFmtId="0" fontId="12" fillId="2" borderId="1" xfId="5" applyFont="1" applyFill="1" applyBorder="1" applyAlignment="1">
      <alignment horizontal="center" wrapText="1"/>
    </xf>
    <xf numFmtId="0" fontId="13" fillId="2" borderId="1" xfId="6" applyFont="1" applyFill="1" applyBorder="1" applyAlignment="1">
      <alignment horizontal="center" vertical="center" wrapText="1"/>
    </xf>
    <xf numFmtId="49" fontId="13" fillId="2" borderId="1" xfId="5" applyNumberFormat="1" applyFont="1" applyFill="1" applyBorder="1" applyAlignment="1">
      <alignment horizontal="center" vertical="center"/>
    </xf>
    <xf numFmtId="0" fontId="19" fillId="2" borderId="1" xfId="6" applyNumberFormat="1" applyFont="1" applyFill="1" applyBorder="1" applyAlignment="1">
      <alignment horizontal="center" vertical="top" wrapText="1" readingOrder="1"/>
    </xf>
    <xf numFmtId="0" fontId="19" fillId="2" borderId="1" xfId="5" applyNumberFormat="1" applyFont="1" applyFill="1" applyBorder="1" applyAlignment="1">
      <alignment horizontal="center" vertical="top" wrapText="1" readingOrder="1"/>
    </xf>
    <xf numFmtId="0" fontId="21" fillId="2" borderId="1" xfId="5" applyFont="1" applyFill="1" applyBorder="1" applyAlignment="1">
      <alignment horizontal="center" vertical="center" wrapText="1"/>
    </xf>
    <xf numFmtId="49" fontId="13" fillId="2" borderId="1" xfId="5" applyNumberFormat="1" applyFont="1" applyFill="1" applyBorder="1" applyAlignment="1">
      <alignment horizontal="center" wrapText="1"/>
    </xf>
    <xf numFmtId="0" fontId="13" fillId="2" borderId="1" xfId="5" applyFont="1" applyFill="1" applyBorder="1" applyAlignment="1">
      <alignment horizontal="center" wrapText="1"/>
    </xf>
    <xf numFmtId="49" fontId="12" fillId="2" borderId="1" xfId="5" applyNumberFormat="1" applyFont="1" applyFill="1" applyBorder="1" applyAlignment="1">
      <alignment horizontal="center" wrapText="1"/>
    </xf>
    <xf numFmtId="0" fontId="12" fillId="2" borderId="1" xfId="0" applyFont="1" applyFill="1" applyBorder="1" applyAlignment="1">
      <alignment horizontal="center" vertical="center" wrapText="1"/>
    </xf>
    <xf numFmtId="14" fontId="13" fillId="2" borderId="1" xfId="5"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9" fillId="2" borderId="1" xfId="0" applyNumberFormat="1" applyFont="1" applyFill="1" applyBorder="1" applyAlignment="1">
      <alignment horizontal="center" vertical="center" wrapText="1" readingOrder="1"/>
    </xf>
    <xf numFmtId="0" fontId="19" fillId="2" borderId="1" xfId="6" applyNumberFormat="1" applyFont="1" applyFill="1" applyBorder="1" applyAlignment="1">
      <alignment horizontal="center" vertical="center" wrapText="1" readingOrder="1"/>
    </xf>
    <xf numFmtId="0" fontId="13" fillId="2" borderId="1" xfId="0" applyFont="1" applyFill="1" applyBorder="1" applyAlignment="1">
      <alignment horizontal="center" vertical="center" wrapText="1"/>
    </xf>
    <xf numFmtId="0" fontId="19" fillId="2" borderId="2" xfId="5" applyNumberFormat="1" applyFont="1" applyFill="1" applyBorder="1" applyAlignment="1">
      <alignment horizontal="center" vertical="top" wrapText="1" readingOrder="1"/>
    </xf>
    <xf numFmtId="0" fontId="19" fillId="2" borderId="3" xfId="5" applyNumberFormat="1" applyFont="1" applyFill="1" applyBorder="1" applyAlignment="1">
      <alignment horizontal="center" vertical="top" wrapText="1" readingOrder="1"/>
    </xf>
    <xf numFmtId="0" fontId="14" fillId="2" borderId="1" xfId="6" applyFont="1" applyFill="1" applyBorder="1" applyAlignment="1">
      <alignment horizontal="center" wrapText="1"/>
    </xf>
    <xf numFmtId="166" fontId="9" fillId="2" borderId="0" xfId="8" applyNumberFormat="1" applyFont="1" applyFill="1" applyAlignment="1">
      <alignment horizontal="center" vertical="center" wrapText="1"/>
    </xf>
    <xf numFmtId="166" fontId="7" fillId="2" borderId="0" xfId="5" applyNumberFormat="1" applyFont="1" applyFill="1" applyAlignment="1">
      <alignment horizontal="center" vertical="center" wrapText="1"/>
    </xf>
    <xf numFmtId="0" fontId="7" fillId="2" borderId="0" xfId="8" applyFont="1" applyFill="1" applyBorder="1" applyAlignment="1">
      <alignment horizontal="center" vertical="center" wrapText="1"/>
    </xf>
    <xf numFmtId="49" fontId="12" fillId="2" borderId="1" xfId="5" applyNumberFormat="1" applyFont="1" applyFill="1" applyBorder="1" applyAlignment="1">
      <alignment horizontal="center" vertical="center"/>
    </xf>
    <xf numFmtId="0" fontId="13" fillId="2" borderId="1" xfId="5" applyFont="1" applyFill="1" applyBorder="1" applyAlignment="1">
      <alignment horizontal="center" vertical="center" wrapText="1"/>
    </xf>
    <xf numFmtId="49" fontId="13" fillId="2" borderId="1" xfId="5" applyNumberFormat="1" applyFont="1" applyFill="1" applyBorder="1" applyAlignment="1">
      <alignment horizontal="center" vertical="center" wrapText="1"/>
    </xf>
    <xf numFmtId="49" fontId="19" fillId="2" borderId="1" xfId="5" applyNumberFormat="1" applyFont="1" applyFill="1" applyBorder="1" applyAlignment="1">
      <alignment horizontal="center" vertical="center" wrapText="1" readingOrder="1"/>
    </xf>
    <xf numFmtId="1" fontId="12" fillId="2" borderId="1" xfId="5"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0" fontId="11" fillId="2" borderId="1" xfId="5" applyFont="1" applyFill="1" applyBorder="1" applyAlignment="1">
      <alignment horizontal="center" vertical="center" wrapText="1"/>
    </xf>
    <xf numFmtId="49" fontId="12" fillId="2" borderId="1" xfId="5" applyNumberFormat="1" applyFont="1" applyFill="1" applyBorder="1" applyAlignment="1">
      <alignment horizontal="center"/>
    </xf>
    <xf numFmtId="0" fontId="8" fillId="2" borderId="1" xfId="6" applyFont="1" applyFill="1" applyBorder="1" applyAlignment="1">
      <alignment horizontal="center" wrapText="1"/>
    </xf>
    <xf numFmtId="49" fontId="19" fillId="2" borderId="1" xfId="5" applyNumberFormat="1" applyFont="1" applyFill="1" applyBorder="1" applyAlignment="1">
      <alignment horizontal="center" vertical="top" wrapText="1" readingOrder="1"/>
    </xf>
    <xf numFmtId="0" fontId="27" fillId="2" borderId="1" xfId="5" applyFont="1" applyFill="1" applyBorder="1" applyAlignment="1">
      <alignment horizont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1" xfId="5" applyFont="1" applyFill="1" applyBorder="1" applyAlignment="1">
      <alignment horizontal="center" vertical="center" wrapText="1" readingOrder="1"/>
    </xf>
    <xf numFmtId="0" fontId="21" fillId="2" borderId="1" xfId="6" applyFont="1" applyFill="1" applyBorder="1" applyAlignment="1">
      <alignment horizontal="center" vertical="center" wrapText="1"/>
    </xf>
  </cellXfs>
  <cellStyles count="11">
    <cellStyle name="Comma 2" xfId="2"/>
    <cellStyle name="Normal" xfId="0" builtinId="0"/>
    <cellStyle name="Normal 2" xfId="3"/>
    <cellStyle name="Normal 3" xfId="4"/>
    <cellStyle name="Normal 4" xfId="5"/>
    <cellStyle name="Normal 5" xfId="6"/>
    <cellStyle name="Normal 5 2" xfId="10"/>
    <cellStyle name="Normal 6" xfId="1"/>
    <cellStyle name="Денежный 2" xfId="7"/>
    <cellStyle name="Обычный 2" xfId="8"/>
    <cellStyle name="Обычный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0"/>
  <sheetViews>
    <sheetView tabSelected="1" topLeftCell="A163" zoomScale="95" zoomScaleNormal="95" workbookViewId="0">
      <selection activeCell="C404" sqref="C404"/>
    </sheetView>
  </sheetViews>
  <sheetFormatPr defaultColWidth="9.140625" defaultRowHeight="12" x14ac:dyDescent="0.2"/>
  <cols>
    <col min="1" max="1" width="1.140625" style="3" customWidth="1"/>
    <col min="2" max="2" width="3.5703125" style="3" customWidth="1"/>
    <col min="3" max="3" width="18" style="3" customWidth="1"/>
    <col min="4" max="12" width="10" style="163" customWidth="1"/>
    <col min="13" max="13" width="3.42578125" style="3" customWidth="1"/>
    <col min="14" max="14" width="5.7109375" style="3" customWidth="1"/>
    <col min="15" max="15" width="5.28515625" style="3" customWidth="1"/>
    <col min="16" max="16" width="4.85546875" style="90" customWidth="1"/>
    <col min="17" max="17" width="5.42578125" style="3" customWidth="1"/>
    <col min="18" max="18" width="5.7109375" style="3" customWidth="1"/>
    <col min="19" max="19" width="10" style="111" customWidth="1"/>
    <col min="20" max="20" width="8.28515625" style="111" customWidth="1"/>
    <col min="21" max="21" width="8.5703125" style="111" customWidth="1"/>
    <col min="22" max="22" width="9.42578125" style="111" customWidth="1"/>
    <col min="23" max="24" width="9.140625" style="111"/>
    <col min="25" max="16384" width="9.140625" style="3"/>
  </cols>
  <sheetData>
    <row r="1" spans="2:24" hidden="1" x14ac:dyDescent="0.2">
      <c r="B1" s="1"/>
      <c r="C1" s="1"/>
      <c r="D1" s="133"/>
      <c r="E1" s="133"/>
      <c r="F1" s="133"/>
      <c r="G1" s="133"/>
      <c r="H1" s="195"/>
      <c r="I1" s="195"/>
      <c r="J1" s="195"/>
      <c r="K1" s="195"/>
      <c r="L1" s="195"/>
      <c r="M1" s="195"/>
      <c r="N1" s="1"/>
      <c r="O1" s="1"/>
      <c r="P1" s="2"/>
      <c r="Q1" s="1"/>
      <c r="R1" s="1"/>
    </row>
    <row r="2" spans="2:24" hidden="1" x14ac:dyDescent="0.2">
      <c r="B2" s="1"/>
      <c r="C2" s="1"/>
      <c r="D2" s="133"/>
      <c r="E2" s="133"/>
      <c r="F2" s="133"/>
      <c r="G2" s="133"/>
      <c r="H2" s="195"/>
      <c r="I2" s="195"/>
      <c r="J2" s="195"/>
      <c r="K2" s="195"/>
      <c r="L2" s="195"/>
      <c r="M2" s="195"/>
      <c r="N2" s="1"/>
      <c r="O2" s="1"/>
      <c r="P2" s="2"/>
      <c r="Q2" s="1"/>
      <c r="R2" s="1"/>
    </row>
    <row r="3" spans="2:24" hidden="1" x14ac:dyDescent="0.2">
      <c r="B3" s="1"/>
      <c r="C3" s="1"/>
      <c r="D3" s="133"/>
      <c r="E3" s="133"/>
      <c r="F3" s="133"/>
      <c r="G3" s="133"/>
      <c r="H3" s="195"/>
      <c r="I3" s="195"/>
      <c r="J3" s="195"/>
      <c r="K3" s="195"/>
      <c r="L3" s="195"/>
      <c r="M3" s="195"/>
      <c r="N3" s="1"/>
      <c r="O3" s="1"/>
      <c r="P3" s="2"/>
      <c r="Q3" s="1"/>
      <c r="R3" s="1"/>
    </row>
    <row r="4" spans="2:24" ht="12.75" x14ac:dyDescent="0.2">
      <c r="B4" s="1"/>
      <c r="C4" s="1"/>
      <c r="D4" s="133"/>
      <c r="E4" s="133"/>
      <c r="F4" s="133"/>
      <c r="G4" s="164" t="s">
        <v>923</v>
      </c>
      <c r="H4" s="134"/>
      <c r="I4" s="134"/>
      <c r="J4" s="134"/>
      <c r="K4" s="134"/>
      <c r="L4" s="134"/>
      <c r="M4" s="130"/>
      <c r="N4" s="1"/>
      <c r="O4" s="1"/>
      <c r="P4" s="2"/>
      <c r="Q4" s="1"/>
      <c r="R4" s="1"/>
    </row>
    <row r="5" spans="2:24" ht="26.25" customHeight="1" x14ac:dyDescent="0.2">
      <c r="B5" s="1"/>
      <c r="C5" s="194" t="s">
        <v>617</v>
      </c>
      <c r="D5" s="194"/>
      <c r="E5" s="194"/>
      <c r="F5" s="194"/>
      <c r="G5" s="194"/>
      <c r="H5" s="194"/>
      <c r="I5" s="194"/>
      <c r="J5" s="194"/>
      <c r="K5" s="194"/>
      <c r="L5" s="194"/>
      <c r="M5" s="1"/>
      <c r="N5" s="1"/>
      <c r="O5" s="1"/>
      <c r="P5" s="2"/>
      <c r="Q5" s="1"/>
      <c r="R5" s="1"/>
    </row>
    <row r="6" spans="2:24" x14ac:dyDescent="0.2">
      <c r="B6" s="1"/>
      <c r="C6" s="1"/>
      <c r="D6" s="133"/>
      <c r="E6" s="133"/>
      <c r="F6" s="133"/>
      <c r="G6" s="133"/>
      <c r="H6" s="133"/>
      <c r="I6" s="133"/>
      <c r="J6" s="133"/>
      <c r="K6" s="133"/>
      <c r="L6" s="133"/>
      <c r="M6" s="1"/>
      <c r="N6" s="1" t="s">
        <v>616</v>
      </c>
      <c r="O6" s="1"/>
      <c r="P6" s="2"/>
      <c r="Q6" s="1"/>
      <c r="R6" s="1"/>
    </row>
    <row r="7" spans="2:24" s="8" customFormat="1" ht="137.25" customHeight="1" x14ac:dyDescent="0.25">
      <c r="B7" s="4"/>
      <c r="C7" s="5" t="s">
        <v>0</v>
      </c>
      <c r="D7" s="135" t="s">
        <v>768</v>
      </c>
      <c r="E7" s="135" t="s">
        <v>1</v>
      </c>
      <c r="F7" s="135" t="s">
        <v>2</v>
      </c>
      <c r="G7" s="136" t="s">
        <v>3</v>
      </c>
      <c r="H7" s="136" t="s">
        <v>4</v>
      </c>
      <c r="I7" s="135" t="s">
        <v>5</v>
      </c>
      <c r="J7" s="136" t="s">
        <v>6</v>
      </c>
      <c r="K7" s="136" t="s">
        <v>7</v>
      </c>
      <c r="L7" s="136" t="s">
        <v>8</v>
      </c>
      <c r="M7" s="131" t="s">
        <v>769</v>
      </c>
      <c r="N7" s="6" t="s">
        <v>770</v>
      </c>
      <c r="O7" s="96" t="s">
        <v>9</v>
      </c>
      <c r="P7" s="100" t="s">
        <v>10</v>
      </c>
      <c r="Q7" s="96" t="s">
        <v>11</v>
      </c>
      <c r="R7" s="7" t="s">
        <v>12</v>
      </c>
      <c r="S7" s="112"/>
      <c r="T7" s="112"/>
      <c r="U7" s="112"/>
      <c r="V7" s="112"/>
      <c r="W7" s="112"/>
      <c r="X7" s="112"/>
    </row>
    <row r="8" spans="2:24" ht="12.75" x14ac:dyDescent="0.25">
      <c r="B8" s="4"/>
      <c r="C8" s="9" t="s">
        <v>506</v>
      </c>
      <c r="D8" s="135"/>
      <c r="E8" s="135"/>
      <c r="F8" s="135"/>
      <c r="G8" s="136"/>
      <c r="H8" s="136"/>
      <c r="I8" s="137"/>
      <c r="J8" s="136"/>
      <c r="K8" s="136"/>
      <c r="L8" s="136"/>
      <c r="M8" s="10"/>
      <c r="N8" s="10"/>
      <c r="O8" s="10"/>
      <c r="P8" s="11"/>
      <c r="Q8" s="10"/>
      <c r="R8" s="12"/>
    </row>
    <row r="9" spans="2:24" ht="76.5" x14ac:dyDescent="0.25">
      <c r="B9" s="4" t="s">
        <v>507</v>
      </c>
      <c r="C9" s="5" t="s">
        <v>509</v>
      </c>
      <c r="D9" s="135">
        <f>E9+F9</f>
        <v>4.1315900000000001</v>
      </c>
      <c r="E9" s="135"/>
      <c r="F9" s="135">
        <v>4.1315900000000001</v>
      </c>
      <c r="G9" s="136">
        <f>H9+I9</f>
        <v>4.1315900000000001</v>
      </c>
      <c r="H9" s="136"/>
      <c r="I9" s="135">
        <v>4.1315900000000001</v>
      </c>
      <c r="J9" s="136">
        <f>K9+L9</f>
        <v>4.1315900000000001</v>
      </c>
      <c r="K9" s="136"/>
      <c r="L9" s="135">
        <v>4.1315900000000001</v>
      </c>
      <c r="M9" s="132">
        <f>J9/D9%</f>
        <v>100</v>
      </c>
      <c r="N9" s="10"/>
      <c r="O9" s="14" t="s">
        <v>699</v>
      </c>
      <c r="P9" s="11" t="s">
        <v>405</v>
      </c>
      <c r="Q9" s="10" t="s">
        <v>508</v>
      </c>
      <c r="R9" s="12"/>
    </row>
    <row r="10" spans="2:24" ht="89.25" x14ac:dyDescent="0.25">
      <c r="B10" s="4"/>
      <c r="C10" s="5" t="s">
        <v>773</v>
      </c>
      <c r="D10" s="135">
        <f t="shared" ref="D10:D11" si="0">E10+F10</f>
        <v>98.285550000000001</v>
      </c>
      <c r="E10" s="135"/>
      <c r="F10" s="135">
        <v>98.285550000000001</v>
      </c>
      <c r="G10" s="136">
        <f t="shared" ref="G10:G11" si="1">H10+I10</f>
        <v>98.285550000000001</v>
      </c>
      <c r="H10" s="136"/>
      <c r="I10" s="135">
        <v>98.285550000000001</v>
      </c>
      <c r="J10" s="136">
        <f t="shared" ref="J10:J12" si="2">K10+L10</f>
        <v>98.285550000000001</v>
      </c>
      <c r="K10" s="136"/>
      <c r="L10" s="135">
        <v>98.285550000000001</v>
      </c>
      <c r="M10" s="132">
        <f t="shared" ref="M10:M12" si="3">J10/D10%</f>
        <v>100</v>
      </c>
      <c r="N10" s="10"/>
      <c r="O10" s="176" t="s">
        <v>896</v>
      </c>
      <c r="P10" s="182" t="s">
        <v>472</v>
      </c>
      <c r="Q10" s="183" t="s">
        <v>533</v>
      </c>
      <c r="R10" s="12"/>
    </row>
    <row r="11" spans="2:24" ht="89.25" x14ac:dyDescent="0.25">
      <c r="B11" s="4"/>
      <c r="C11" s="5" t="s">
        <v>774</v>
      </c>
      <c r="D11" s="135">
        <f t="shared" si="0"/>
        <v>36.703859999999999</v>
      </c>
      <c r="E11" s="135"/>
      <c r="F11" s="135">
        <v>36.703859999999999</v>
      </c>
      <c r="G11" s="136">
        <f t="shared" si="1"/>
        <v>36.703859999999999</v>
      </c>
      <c r="H11" s="136"/>
      <c r="I11" s="135">
        <v>36.703859999999999</v>
      </c>
      <c r="J11" s="136">
        <f t="shared" si="2"/>
        <v>36.703859999999999</v>
      </c>
      <c r="K11" s="136"/>
      <c r="L11" s="135">
        <v>36.703859999999999</v>
      </c>
      <c r="M11" s="132">
        <f t="shared" si="3"/>
        <v>100</v>
      </c>
      <c r="N11" s="10"/>
      <c r="O11" s="176"/>
      <c r="P11" s="182"/>
      <c r="Q11" s="183"/>
      <c r="R11" s="12"/>
      <c r="S11" s="113"/>
    </row>
    <row r="12" spans="2:24" ht="76.5" x14ac:dyDescent="0.25">
      <c r="B12" s="4"/>
      <c r="C12" s="5" t="s">
        <v>771</v>
      </c>
      <c r="D12" s="135">
        <f t="shared" ref="D12" si="4">E12+F12</f>
        <v>576.97563000000002</v>
      </c>
      <c r="E12" s="135">
        <v>576.97563000000002</v>
      </c>
      <c r="F12" s="135"/>
      <c r="G12" s="136">
        <f t="shared" ref="G12" si="5">H12+I12</f>
        <v>576.97563000000002</v>
      </c>
      <c r="H12" s="135">
        <v>576.97563000000002</v>
      </c>
      <c r="I12" s="135"/>
      <c r="J12" s="136">
        <f t="shared" si="2"/>
        <v>115.395</v>
      </c>
      <c r="K12" s="136">
        <v>115.395</v>
      </c>
      <c r="L12" s="135"/>
      <c r="M12" s="132">
        <f t="shared" si="3"/>
        <v>19.999978161989269</v>
      </c>
      <c r="N12" s="129">
        <v>0.4</v>
      </c>
      <c r="O12" s="14" t="s">
        <v>897</v>
      </c>
      <c r="P12" s="11" t="s">
        <v>772</v>
      </c>
      <c r="Q12" s="10" t="s">
        <v>291</v>
      </c>
      <c r="R12" s="12"/>
    </row>
    <row r="13" spans="2:24" ht="12.75" x14ac:dyDescent="0.25">
      <c r="B13" s="4"/>
      <c r="C13" s="5"/>
      <c r="D13" s="135"/>
      <c r="E13" s="135"/>
      <c r="F13" s="135"/>
      <c r="G13" s="136"/>
      <c r="H13" s="136"/>
      <c r="I13" s="135"/>
      <c r="J13" s="136"/>
      <c r="K13" s="136"/>
      <c r="L13" s="135"/>
      <c r="M13" s="132"/>
      <c r="N13" s="10"/>
      <c r="O13" s="14"/>
      <c r="P13" s="11"/>
      <c r="Q13" s="10"/>
      <c r="R13" s="12"/>
    </row>
    <row r="14" spans="2:24" s="20" customFormat="1" ht="12.75" x14ac:dyDescent="0.25">
      <c r="B14" s="4"/>
      <c r="C14" s="9" t="s">
        <v>19</v>
      </c>
      <c r="D14" s="138">
        <f>E14+F14</f>
        <v>716.09663</v>
      </c>
      <c r="E14" s="138">
        <f>SUM(E9:E13)</f>
        <v>576.97563000000002</v>
      </c>
      <c r="F14" s="138">
        <f>SUM(F9:F13)</f>
        <v>139.12100000000001</v>
      </c>
      <c r="G14" s="138">
        <f t="shared" ref="G14" si="6">SUM(G9:G9)</f>
        <v>4.1315900000000001</v>
      </c>
      <c r="H14" s="138">
        <f>SUM(H9:H13)</f>
        <v>576.97563000000002</v>
      </c>
      <c r="I14" s="138">
        <f>SUM(I9:I13)</f>
        <v>139.12100000000001</v>
      </c>
      <c r="J14" s="138">
        <f>K14+L14</f>
        <v>254.51600000000002</v>
      </c>
      <c r="K14" s="138">
        <f>SUM(K9:K13)</f>
        <v>115.395</v>
      </c>
      <c r="L14" s="138">
        <f>SUM(L9:L13)</f>
        <v>139.12100000000001</v>
      </c>
      <c r="M14" s="15">
        <f t="shared" ref="M14" si="7">J14/D14%</f>
        <v>35.542130675855859</v>
      </c>
      <c r="N14" s="16"/>
      <c r="O14" s="17"/>
      <c r="P14" s="18"/>
      <c r="Q14" s="16"/>
      <c r="R14" s="19"/>
      <c r="S14" s="114"/>
      <c r="T14" s="114"/>
      <c r="U14" s="114"/>
      <c r="V14" s="114"/>
      <c r="W14" s="114"/>
      <c r="X14" s="114"/>
    </row>
    <row r="15" spans="2:24" ht="12.75" x14ac:dyDescent="0.25">
      <c r="B15" s="4"/>
      <c r="C15" s="5"/>
      <c r="D15" s="135"/>
      <c r="E15" s="135"/>
      <c r="F15" s="135"/>
      <c r="G15" s="136"/>
      <c r="H15" s="136"/>
      <c r="I15" s="137"/>
      <c r="J15" s="136"/>
      <c r="K15" s="136"/>
      <c r="L15" s="136"/>
      <c r="M15" s="10"/>
      <c r="N15" s="10"/>
      <c r="O15" s="10"/>
      <c r="P15" s="11"/>
      <c r="Q15" s="10"/>
      <c r="R15" s="12"/>
    </row>
    <row r="16" spans="2:24" ht="51" x14ac:dyDescent="0.25">
      <c r="B16" s="21" t="s">
        <v>13</v>
      </c>
      <c r="C16" s="4" t="s">
        <v>14</v>
      </c>
      <c r="D16" s="136"/>
      <c r="E16" s="136"/>
      <c r="F16" s="136"/>
      <c r="G16" s="136"/>
      <c r="H16" s="136"/>
      <c r="I16" s="136"/>
      <c r="J16" s="136"/>
      <c r="K16" s="136"/>
      <c r="L16" s="136"/>
      <c r="M16" s="132"/>
      <c r="N16" s="13"/>
      <c r="O16" s="14"/>
      <c r="P16" s="22"/>
      <c r="Q16" s="23"/>
      <c r="R16" s="12"/>
    </row>
    <row r="17" spans="2:24" ht="102" x14ac:dyDescent="0.25">
      <c r="B17" s="14"/>
      <c r="C17" s="96" t="s">
        <v>15</v>
      </c>
      <c r="D17" s="136">
        <f>E17+F17</f>
        <v>54.965000000000003</v>
      </c>
      <c r="E17" s="136">
        <v>54.965000000000003</v>
      </c>
      <c r="F17" s="136"/>
      <c r="G17" s="136">
        <f t="shared" ref="G17:G20" si="8">H17+I17</f>
        <v>277.83668</v>
      </c>
      <c r="H17" s="136">
        <v>277.83668</v>
      </c>
      <c r="I17" s="136"/>
      <c r="J17" s="136">
        <f>K17+L17</f>
        <v>44.406550000000003</v>
      </c>
      <c r="K17" s="136">
        <v>44.406550000000003</v>
      </c>
      <c r="L17" s="136"/>
      <c r="M17" s="132">
        <f>J17/D17%</f>
        <v>80.790594014372772</v>
      </c>
      <c r="N17" s="24"/>
      <c r="O17" s="14" t="s">
        <v>16</v>
      </c>
      <c r="P17" s="22" t="s">
        <v>17</v>
      </c>
      <c r="Q17" s="96" t="s">
        <v>18</v>
      </c>
      <c r="R17" s="12"/>
    </row>
    <row r="18" spans="2:24" ht="114.75" x14ac:dyDescent="0.25">
      <c r="B18" s="14"/>
      <c r="C18" s="25" t="s">
        <v>393</v>
      </c>
      <c r="D18" s="136">
        <f>E18+F18</f>
        <v>1.3</v>
      </c>
      <c r="E18" s="136">
        <v>1.3</v>
      </c>
      <c r="F18" s="136"/>
      <c r="G18" s="136">
        <f t="shared" si="8"/>
        <v>1.3</v>
      </c>
      <c r="H18" s="136">
        <v>1.3</v>
      </c>
      <c r="I18" s="136"/>
      <c r="J18" s="136">
        <f>K18+L18</f>
        <v>1.3</v>
      </c>
      <c r="K18" s="136">
        <v>1.3</v>
      </c>
      <c r="L18" s="136"/>
      <c r="M18" s="132">
        <f t="shared" ref="M18:M89" si="9">J18/D18%</f>
        <v>100</v>
      </c>
      <c r="N18" s="13"/>
      <c r="O18" s="14" t="s">
        <v>425</v>
      </c>
      <c r="P18" s="22" t="s">
        <v>394</v>
      </c>
      <c r="Q18" s="25" t="s">
        <v>395</v>
      </c>
      <c r="R18" s="12"/>
    </row>
    <row r="19" spans="2:24" ht="127.5" x14ac:dyDescent="0.25">
      <c r="B19" s="14"/>
      <c r="C19" s="25" t="s">
        <v>427</v>
      </c>
      <c r="D19" s="136">
        <f t="shared" ref="D19" si="10">E19+F19</f>
        <v>0.89600000000000002</v>
      </c>
      <c r="E19" s="136">
        <v>0.89600000000000002</v>
      </c>
      <c r="F19" s="136"/>
      <c r="G19" s="136">
        <f t="shared" si="8"/>
        <v>0.89600000000000002</v>
      </c>
      <c r="H19" s="136">
        <v>0.89600000000000002</v>
      </c>
      <c r="I19" s="136"/>
      <c r="J19" s="136">
        <f t="shared" ref="J19:J20" si="11">K19+L19</f>
        <v>0.89600000000000002</v>
      </c>
      <c r="K19" s="136">
        <v>0.89600000000000002</v>
      </c>
      <c r="L19" s="136"/>
      <c r="M19" s="132">
        <f t="shared" si="9"/>
        <v>99.999999999999986</v>
      </c>
      <c r="N19" s="13"/>
      <c r="O19" s="14" t="s">
        <v>700</v>
      </c>
      <c r="P19" s="22">
        <v>69</v>
      </c>
      <c r="Q19" s="102" t="s">
        <v>428</v>
      </c>
      <c r="R19" s="12"/>
    </row>
    <row r="20" spans="2:24" ht="114.75" x14ac:dyDescent="0.25">
      <c r="B20" s="14"/>
      <c r="C20" s="25" t="s">
        <v>429</v>
      </c>
      <c r="D20" s="136">
        <f>E20+F20</f>
        <v>232.16</v>
      </c>
      <c r="E20" s="136">
        <v>232.16</v>
      </c>
      <c r="F20" s="136"/>
      <c r="G20" s="136">
        <f t="shared" si="8"/>
        <v>432.16</v>
      </c>
      <c r="H20" s="136">
        <v>432.16</v>
      </c>
      <c r="I20" s="136"/>
      <c r="J20" s="136">
        <f t="shared" si="11"/>
        <v>229.29577999999998</v>
      </c>
      <c r="K20" s="136">
        <f>39.47641+24.55357+86.432+78.8338</f>
        <v>229.29577999999998</v>
      </c>
      <c r="L20" s="136"/>
      <c r="M20" s="132">
        <f t="shared" si="9"/>
        <v>98.766273259820807</v>
      </c>
      <c r="N20" s="13"/>
      <c r="O20" s="14" t="s">
        <v>510</v>
      </c>
      <c r="P20" s="22">
        <v>70</v>
      </c>
      <c r="Q20" s="25" t="s">
        <v>430</v>
      </c>
      <c r="R20" s="12"/>
    </row>
    <row r="21" spans="2:24" ht="114.75" x14ac:dyDescent="0.25">
      <c r="B21" s="4"/>
      <c r="C21" s="25" t="s">
        <v>618</v>
      </c>
      <c r="D21" s="135">
        <f>E21+F21</f>
        <v>2.2000000000000002</v>
      </c>
      <c r="E21" s="135">
        <v>2.2000000000000002</v>
      </c>
      <c r="F21" s="135"/>
      <c r="G21" s="136">
        <f>H21+I21</f>
        <v>2.2000000000000002</v>
      </c>
      <c r="H21" s="135">
        <v>2.2000000000000002</v>
      </c>
      <c r="I21" s="135"/>
      <c r="J21" s="136">
        <f>K21+L21</f>
        <v>2.2000000000000002</v>
      </c>
      <c r="K21" s="136">
        <v>2.2000000000000002</v>
      </c>
      <c r="L21" s="135"/>
      <c r="M21" s="132">
        <f t="shared" si="9"/>
        <v>100</v>
      </c>
      <c r="N21" s="10"/>
      <c r="O21" s="14" t="s">
        <v>619</v>
      </c>
      <c r="P21" s="11" t="s">
        <v>52</v>
      </c>
      <c r="Q21" s="10" t="s">
        <v>395</v>
      </c>
      <c r="R21" s="12"/>
    </row>
    <row r="22" spans="2:24" ht="114.75" x14ac:dyDescent="0.25">
      <c r="B22" s="4"/>
      <c r="C22" s="5" t="s">
        <v>898</v>
      </c>
      <c r="D22" s="135">
        <f t="shared" ref="D22:D23" si="12">E22+F22</f>
        <v>414.18</v>
      </c>
      <c r="E22" s="135">
        <v>414.18</v>
      </c>
      <c r="F22" s="135"/>
      <c r="G22" s="136">
        <f t="shared" ref="G22" si="13">H22+I22</f>
        <v>414.18</v>
      </c>
      <c r="H22" s="135">
        <v>414.18</v>
      </c>
      <c r="I22" s="135"/>
      <c r="J22" s="136">
        <f t="shared" ref="J22" si="14">K22+L22</f>
        <v>414.18</v>
      </c>
      <c r="K22" s="136">
        <v>414.18</v>
      </c>
      <c r="L22" s="135"/>
      <c r="M22" s="132">
        <f t="shared" si="9"/>
        <v>100</v>
      </c>
      <c r="N22" s="10"/>
      <c r="O22" s="14" t="s">
        <v>844</v>
      </c>
      <c r="P22" s="11" t="s">
        <v>620</v>
      </c>
      <c r="Q22" s="10" t="s">
        <v>621</v>
      </c>
      <c r="R22" s="12"/>
    </row>
    <row r="23" spans="2:24" ht="12.75" x14ac:dyDescent="0.25">
      <c r="B23" s="14"/>
      <c r="C23" s="25"/>
      <c r="D23" s="136">
        <f t="shared" si="12"/>
        <v>138.19</v>
      </c>
      <c r="E23" s="136">
        <v>138.19</v>
      </c>
      <c r="F23" s="136"/>
      <c r="G23" s="136"/>
      <c r="H23" s="136"/>
      <c r="I23" s="136"/>
      <c r="J23" s="136"/>
      <c r="K23" s="136"/>
      <c r="L23" s="136"/>
      <c r="M23" s="132"/>
      <c r="N23" s="13"/>
      <c r="O23" s="14"/>
      <c r="P23" s="22"/>
      <c r="Q23" s="25"/>
      <c r="R23" s="12"/>
    </row>
    <row r="24" spans="2:24" ht="12.75" x14ac:dyDescent="0.25">
      <c r="B24" s="14"/>
      <c r="C24" s="97" t="s">
        <v>19</v>
      </c>
      <c r="D24" s="136">
        <f t="shared" ref="D24:D114" si="15">E24+F24</f>
        <v>843.89100000000008</v>
      </c>
      <c r="E24" s="136">
        <f>SUM(E17:E23)</f>
        <v>843.89100000000008</v>
      </c>
      <c r="F24" s="136">
        <f>SUM(F17:F23)</f>
        <v>0</v>
      </c>
      <c r="G24" s="136">
        <f t="shared" ref="G24:G114" si="16">H24+I24</f>
        <v>1128.5726800000002</v>
      </c>
      <c r="H24" s="136">
        <f>SUM(H17:H23)</f>
        <v>1128.5726800000002</v>
      </c>
      <c r="I24" s="136">
        <f>SUM(I17:I23)</f>
        <v>0</v>
      </c>
      <c r="J24" s="136">
        <f t="shared" ref="J24:J114" si="17">K24+L24</f>
        <v>692.27832999999998</v>
      </c>
      <c r="K24" s="136">
        <f>SUM(K17:K23)</f>
        <v>692.27832999999998</v>
      </c>
      <c r="L24" s="136">
        <f>SUM(L17:L23)</f>
        <v>0</v>
      </c>
      <c r="M24" s="132">
        <f t="shared" si="9"/>
        <v>82.034093265599466</v>
      </c>
      <c r="N24" s="13"/>
      <c r="O24" s="14"/>
      <c r="P24" s="22"/>
      <c r="Q24" s="23"/>
      <c r="R24" s="26"/>
    </row>
    <row r="25" spans="2:24" ht="12.75" x14ac:dyDescent="0.25">
      <c r="B25" s="14"/>
      <c r="C25" s="97"/>
      <c r="D25" s="136"/>
      <c r="E25" s="136"/>
      <c r="F25" s="136"/>
      <c r="G25" s="136"/>
      <c r="H25" s="136"/>
      <c r="I25" s="136"/>
      <c r="J25" s="136"/>
      <c r="K25" s="136"/>
      <c r="L25" s="136"/>
      <c r="M25" s="132"/>
      <c r="N25" s="13"/>
      <c r="O25" s="14"/>
      <c r="P25" s="22"/>
      <c r="Q25" s="23"/>
      <c r="R25" s="26"/>
    </row>
    <row r="26" spans="2:24" ht="38.25" x14ac:dyDescent="0.25">
      <c r="B26" s="17" t="s">
        <v>20</v>
      </c>
      <c r="C26" s="27" t="s">
        <v>21</v>
      </c>
      <c r="D26" s="136"/>
      <c r="E26" s="135"/>
      <c r="F26" s="135"/>
      <c r="G26" s="136"/>
      <c r="H26" s="136"/>
      <c r="I26" s="137"/>
      <c r="J26" s="136"/>
      <c r="K26" s="136"/>
      <c r="L26" s="136"/>
      <c r="M26" s="132"/>
      <c r="N26" s="13"/>
      <c r="O26" s="10"/>
      <c r="P26" s="11"/>
      <c r="Q26" s="10"/>
      <c r="R26" s="12"/>
    </row>
    <row r="27" spans="2:24" ht="217.5" customHeight="1" x14ac:dyDescent="0.25">
      <c r="B27" s="14"/>
      <c r="C27" s="28" t="s">
        <v>22</v>
      </c>
      <c r="D27" s="136">
        <f t="shared" si="15"/>
        <v>1577.9175399999999</v>
      </c>
      <c r="E27" s="136">
        <v>78.895889999999994</v>
      </c>
      <c r="F27" s="136">
        <f>1499.02165</f>
        <v>1499.0216499999999</v>
      </c>
      <c r="G27" s="136">
        <f t="shared" si="16"/>
        <v>1973.2023199999999</v>
      </c>
      <c r="H27" s="139">
        <f>393.35649-0.04099</f>
        <v>393.31549999999999</v>
      </c>
      <c r="I27" s="139">
        <f>1580.065-0.17818</f>
        <v>1579.8868199999999</v>
      </c>
      <c r="J27" s="136">
        <f t="shared" si="17"/>
        <v>562.05269999999996</v>
      </c>
      <c r="K27" s="136">
        <f>5.01939+1.89741+0.86396+20.3212</f>
        <v>28.101959999999998</v>
      </c>
      <c r="L27" s="136">
        <f>95.3684+36.05072+16.41522+386.1164</f>
        <v>533.95074</v>
      </c>
      <c r="M27" s="132">
        <f t="shared" si="9"/>
        <v>35.61990317947793</v>
      </c>
      <c r="N27" s="13">
        <v>67</v>
      </c>
      <c r="O27" s="14" t="s">
        <v>23</v>
      </c>
      <c r="P27" s="95" t="s">
        <v>24</v>
      </c>
      <c r="Q27" s="29" t="s">
        <v>25</v>
      </c>
      <c r="R27" s="12" t="s">
        <v>775</v>
      </c>
      <c r="S27" s="115"/>
      <c r="T27" s="116"/>
      <c r="U27" s="116"/>
      <c r="V27" s="117"/>
      <c r="X27" s="116"/>
    </row>
    <row r="28" spans="2:24" ht="108.75" x14ac:dyDescent="0.25">
      <c r="B28" s="14"/>
      <c r="C28" s="28" t="s">
        <v>26</v>
      </c>
      <c r="D28" s="136">
        <f t="shared" si="15"/>
        <v>7.4389599999999998</v>
      </c>
      <c r="E28" s="136">
        <v>7.4389599999999998</v>
      </c>
      <c r="F28" s="136"/>
      <c r="G28" s="136">
        <f t="shared" si="16"/>
        <v>179.96851000000001</v>
      </c>
      <c r="H28" s="140">
        <v>179.96851000000001</v>
      </c>
      <c r="I28" s="140"/>
      <c r="J28" s="136">
        <f t="shared" si="17"/>
        <v>7.4389599999999998</v>
      </c>
      <c r="K28" s="136">
        <v>7.4389599999999998</v>
      </c>
      <c r="L28" s="136"/>
      <c r="M28" s="132">
        <f t="shared" si="9"/>
        <v>100</v>
      </c>
      <c r="N28" s="13"/>
      <c r="O28" s="14" t="s">
        <v>27</v>
      </c>
      <c r="P28" s="95" t="s">
        <v>28</v>
      </c>
      <c r="Q28" s="29" t="s">
        <v>29</v>
      </c>
      <c r="R28" s="12" t="s">
        <v>30</v>
      </c>
      <c r="S28" s="116"/>
      <c r="U28" s="116"/>
      <c r="X28" s="116"/>
    </row>
    <row r="29" spans="2:24" ht="96.75" x14ac:dyDescent="0.25">
      <c r="B29" s="14"/>
      <c r="C29" s="28" t="s">
        <v>31</v>
      </c>
      <c r="D29" s="136">
        <f t="shared" si="15"/>
        <v>3.1566999999999998</v>
      </c>
      <c r="E29" s="139">
        <v>3.1566999999999998</v>
      </c>
      <c r="F29" s="139"/>
      <c r="G29" s="136">
        <f t="shared" si="16"/>
        <v>66.584609999999998</v>
      </c>
      <c r="H29" s="139">
        <v>66.584609999999998</v>
      </c>
      <c r="I29" s="139"/>
      <c r="J29" s="136">
        <f t="shared" si="17"/>
        <v>3.1566999999999998</v>
      </c>
      <c r="K29" s="136">
        <v>3.1566999999999998</v>
      </c>
      <c r="L29" s="136"/>
      <c r="M29" s="132">
        <f t="shared" si="9"/>
        <v>100</v>
      </c>
      <c r="N29" s="13"/>
      <c r="O29" s="14" t="s">
        <v>32</v>
      </c>
      <c r="P29" s="95" t="s">
        <v>33</v>
      </c>
      <c r="Q29" s="29" t="s">
        <v>34</v>
      </c>
      <c r="R29" s="12" t="s">
        <v>35</v>
      </c>
      <c r="S29" s="116"/>
      <c r="X29" s="116"/>
    </row>
    <row r="30" spans="2:24" ht="89.25" x14ac:dyDescent="0.25">
      <c r="B30" s="14"/>
      <c r="C30" s="28" t="s">
        <v>36</v>
      </c>
      <c r="D30" s="136">
        <f t="shared" si="15"/>
        <v>444.43311999999997</v>
      </c>
      <c r="E30" s="136">
        <v>22.221499999999999</v>
      </c>
      <c r="F30" s="136">
        <v>422.21161999999998</v>
      </c>
      <c r="G30" s="136">
        <f t="shared" si="16"/>
        <v>444.43311999999997</v>
      </c>
      <c r="H30" s="136">
        <v>22.221499999999999</v>
      </c>
      <c r="I30" s="136">
        <v>422.21161999999998</v>
      </c>
      <c r="J30" s="136">
        <f t="shared" si="17"/>
        <v>429.36178000000001</v>
      </c>
      <c r="K30" s="136">
        <f>2.64648+4.44425+5.29532+3.90955+5.26724</f>
        <v>21.562840000000001</v>
      </c>
      <c r="L30" s="136">
        <f>48.38298+84.446+100.6111+74.2813+100.07756</f>
        <v>407.79894000000002</v>
      </c>
      <c r="M30" s="132">
        <f t="shared" si="9"/>
        <v>96.608862093806152</v>
      </c>
      <c r="N30" s="13"/>
      <c r="O30" s="14" t="s">
        <v>426</v>
      </c>
      <c r="P30" s="95" t="s">
        <v>37</v>
      </c>
      <c r="Q30" s="29" t="s">
        <v>29</v>
      </c>
      <c r="R30" s="31"/>
      <c r="S30" s="115"/>
      <c r="X30" s="116"/>
    </row>
    <row r="31" spans="2:24" ht="75" customHeight="1" x14ac:dyDescent="0.25">
      <c r="B31" s="32"/>
      <c r="C31" s="28" t="s">
        <v>891</v>
      </c>
      <c r="D31" s="136">
        <f t="shared" si="15"/>
        <v>68.871510000000001</v>
      </c>
      <c r="E31" s="139"/>
      <c r="F31" s="139">
        <v>68.871510000000001</v>
      </c>
      <c r="G31" s="136">
        <f t="shared" si="16"/>
        <v>425.71478999999999</v>
      </c>
      <c r="H31" s="139">
        <v>170.2859</v>
      </c>
      <c r="I31" s="139">
        <v>255.42889</v>
      </c>
      <c r="J31" s="136">
        <f t="shared" si="17"/>
        <v>8.0885800000000003</v>
      </c>
      <c r="K31" s="136"/>
      <c r="L31" s="136">
        <v>8.0885800000000003</v>
      </c>
      <c r="M31" s="132">
        <f t="shared" si="9"/>
        <v>11.744449918406028</v>
      </c>
      <c r="N31" s="13">
        <v>100</v>
      </c>
      <c r="O31" s="14" t="s">
        <v>38</v>
      </c>
      <c r="P31" s="95">
        <v>92</v>
      </c>
      <c r="Q31" s="29" t="s">
        <v>39</v>
      </c>
      <c r="R31" s="12" t="s">
        <v>40</v>
      </c>
      <c r="S31" s="116"/>
      <c r="T31" s="118"/>
      <c r="X31" s="116"/>
    </row>
    <row r="32" spans="2:24" ht="114.75" x14ac:dyDescent="0.25">
      <c r="B32" s="14"/>
      <c r="C32" s="28" t="s">
        <v>41</v>
      </c>
      <c r="D32" s="136">
        <f t="shared" si="15"/>
        <v>22</v>
      </c>
      <c r="E32" s="141">
        <v>22</v>
      </c>
      <c r="F32" s="136"/>
      <c r="G32" s="136">
        <f t="shared" si="16"/>
        <v>22</v>
      </c>
      <c r="H32" s="136">
        <v>22</v>
      </c>
      <c r="I32" s="136"/>
      <c r="J32" s="136">
        <f t="shared" si="17"/>
        <v>22</v>
      </c>
      <c r="K32" s="141">
        <v>22</v>
      </c>
      <c r="L32" s="136"/>
      <c r="M32" s="132">
        <f t="shared" si="9"/>
        <v>100</v>
      </c>
      <c r="N32" s="13"/>
      <c r="O32" s="33" t="s">
        <v>42</v>
      </c>
      <c r="P32" s="95">
        <v>1</v>
      </c>
      <c r="Q32" s="34" t="s">
        <v>43</v>
      </c>
      <c r="R32" s="26"/>
      <c r="U32" s="116"/>
    </row>
    <row r="33" spans="2:21" ht="216" customHeight="1" x14ac:dyDescent="0.25">
      <c r="B33" s="14"/>
      <c r="C33" s="101" t="s">
        <v>883</v>
      </c>
      <c r="D33" s="136">
        <f t="shared" si="15"/>
        <v>201.50092000000001</v>
      </c>
      <c r="E33" s="141">
        <v>14.016780000000001</v>
      </c>
      <c r="F33" s="136">
        <f>157.92785+29.55629</f>
        <v>187.48414</v>
      </c>
      <c r="G33" s="136">
        <f t="shared" si="16"/>
        <v>283.05473000000001</v>
      </c>
      <c r="H33" s="141">
        <v>16.751999999999999</v>
      </c>
      <c r="I33" s="136">
        <v>266.30273</v>
      </c>
      <c r="J33" s="136">
        <f t="shared" si="17"/>
        <v>201.05997000000002</v>
      </c>
      <c r="K33" s="141">
        <f>5.264+0.58083+7.731</f>
        <v>13.57583</v>
      </c>
      <c r="L33" s="136">
        <f>29.55629+7.732+146.892+3.30385</f>
        <v>187.48414000000002</v>
      </c>
      <c r="M33" s="132">
        <f t="shared" si="9"/>
        <v>99.781167252238845</v>
      </c>
      <c r="N33" s="13"/>
      <c r="O33" s="187" t="s">
        <v>44</v>
      </c>
      <c r="P33" s="178" t="s">
        <v>45</v>
      </c>
      <c r="Q33" s="180" t="s">
        <v>46</v>
      </c>
      <c r="R33" s="12" t="s">
        <v>47</v>
      </c>
    </row>
    <row r="34" spans="2:21" ht="108" customHeight="1" x14ac:dyDescent="0.25">
      <c r="B34" s="14"/>
      <c r="C34" s="101" t="s">
        <v>884</v>
      </c>
      <c r="D34" s="136">
        <f t="shared" si="15"/>
        <v>100.16958</v>
      </c>
      <c r="E34" s="141">
        <v>5.3675199999999998</v>
      </c>
      <c r="F34" s="136">
        <f>94.80156+0.0005</f>
        <v>94.802059999999997</v>
      </c>
      <c r="G34" s="136">
        <f t="shared" si="16"/>
        <v>209.88833</v>
      </c>
      <c r="H34" s="141">
        <v>7.8960000000000008</v>
      </c>
      <c r="I34" s="136">
        <v>201.99232999999998</v>
      </c>
      <c r="J34" s="136">
        <f t="shared" si="17"/>
        <v>99.790559999999999</v>
      </c>
      <c r="K34" s="141">
        <v>4.9889999999999999</v>
      </c>
      <c r="L34" s="136">
        <v>94.801559999999995</v>
      </c>
      <c r="M34" s="132">
        <f t="shared" si="9"/>
        <v>99.621621653999142</v>
      </c>
      <c r="N34" s="13"/>
      <c r="O34" s="187"/>
      <c r="P34" s="178"/>
      <c r="Q34" s="180"/>
      <c r="R34" s="12" t="s">
        <v>48</v>
      </c>
      <c r="S34" s="116"/>
      <c r="U34" s="116"/>
    </row>
    <row r="35" spans="2:21" ht="84.75" customHeight="1" x14ac:dyDescent="0.25">
      <c r="B35" s="14"/>
      <c r="C35" s="93" t="s">
        <v>776</v>
      </c>
      <c r="D35" s="136">
        <f t="shared" si="15"/>
        <v>485.67778999999996</v>
      </c>
      <c r="E35" s="140">
        <v>24.284590000000001</v>
      </c>
      <c r="F35" s="140">
        <f>11.82926+449.56394</f>
        <v>461.39319999999998</v>
      </c>
      <c r="G35" s="136">
        <f t="shared" si="16"/>
        <v>493.50878</v>
      </c>
      <c r="H35" s="140">
        <v>24.67614</v>
      </c>
      <c r="I35" s="140">
        <f>19.2687+449.56394</f>
        <v>468.83264000000003</v>
      </c>
      <c r="J35" s="136">
        <f t="shared" si="17"/>
        <v>485.67778999999996</v>
      </c>
      <c r="K35" s="140">
        <f>0.62259+15.19063+8.47137</f>
        <v>24.284590000000001</v>
      </c>
      <c r="L35" s="140">
        <f>11.82926+288.62198+160.94196</f>
        <v>461.39319999999998</v>
      </c>
      <c r="M35" s="132">
        <f t="shared" si="9"/>
        <v>99.999999999999986</v>
      </c>
      <c r="N35" s="13"/>
      <c r="O35" s="97" t="s">
        <v>49</v>
      </c>
      <c r="P35" s="22">
        <v>86</v>
      </c>
      <c r="Q35" s="35" t="s">
        <v>50</v>
      </c>
      <c r="R35" s="12"/>
    </row>
    <row r="36" spans="2:21" ht="220.5" customHeight="1" x14ac:dyDescent="0.25">
      <c r="B36" s="14"/>
      <c r="C36" s="93" t="s">
        <v>885</v>
      </c>
      <c r="D36" s="136">
        <f t="shared" si="15"/>
        <v>189.81507999999999</v>
      </c>
      <c r="E36" s="136">
        <v>15.30119</v>
      </c>
      <c r="F36" s="136">
        <f>164.54112+9.97277</f>
        <v>174.51389</v>
      </c>
      <c r="G36" s="136">
        <f t="shared" si="16"/>
        <v>523.54022999999995</v>
      </c>
      <c r="H36" s="136">
        <v>42.867989999999999</v>
      </c>
      <c r="I36" s="136">
        <f>480.73201-0.05977</f>
        <v>480.67223999999999</v>
      </c>
      <c r="J36" s="136">
        <f t="shared" si="17"/>
        <v>197.74835999999999</v>
      </c>
      <c r="K36" s="140">
        <f>9.88776</f>
        <v>9.8877600000000001</v>
      </c>
      <c r="L36" s="140">
        <v>187.86060000000001</v>
      </c>
      <c r="M36" s="132">
        <f t="shared" si="9"/>
        <v>104.17947825852403</v>
      </c>
      <c r="N36" s="13"/>
      <c r="O36" s="97" t="s">
        <v>51</v>
      </c>
      <c r="P36" s="22" t="s">
        <v>52</v>
      </c>
      <c r="Q36" s="35" t="s">
        <v>50</v>
      </c>
      <c r="R36" s="12" t="s">
        <v>53</v>
      </c>
    </row>
    <row r="37" spans="2:21" ht="87.75" customHeight="1" x14ac:dyDescent="0.25">
      <c r="B37" s="32"/>
      <c r="C37" s="93" t="s">
        <v>594</v>
      </c>
      <c r="D37" s="136">
        <f t="shared" si="15"/>
        <v>84.890309999999999</v>
      </c>
      <c r="E37" s="136">
        <f>4.72521-E38</f>
        <v>4.2441399999999998</v>
      </c>
      <c r="F37" s="136">
        <v>80.646169999999998</v>
      </c>
      <c r="G37" s="136">
        <f t="shared" si="16"/>
        <v>284.89029999999997</v>
      </c>
      <c r="H37" s="136">
        <v>14.24451</v>
      </c>
      <c r="I37" s="136">
        <v>270.64578999999998</v>
      </c>
      <c r="J37" s="136">
        <f t="shared" si="17"/>
        <v>73.462729999999993</v>
      </c>
      <c r="K37" s="140">
        <f>0.42582+3.24733</f>
        <v>3.6731499999999997</v>
      </c>
      <c r="L37" s="140">
        <f>8.09046+61.69912</f>
        <v>69.789580000000001</v>
      </c>
      <c r="M37" s="201">
        <f>J37+J38/D37%</f>
        <v>84.796862246660424</v>
      </c>
      <c r="N37" s="201"/>
      <c r="O37" s="187" t="s">
        <v>54</v>
      </c>
      <c r="P37" s="175">
        <v>90</v>
      </c>
      <c r="Q37" s="13" t="s">
        <v>50</v>
      </c>
      <c r="R37" s="193" t="s">
        <v>488</v>
      </c>
      <c r="S37" s="115"/>
    </row>
    <row r="38" spans="2:21" ht="91.5" customHeight="1" x14ac:dyDescent="0.25">
      <c r="B38" s="32">
        <f>D37-D38</f>
        <v>75.268730000000005</v>
      </c>
      <c r="C38" s="25" t="s">
        <v>868</v>
      </c>
      <c r="D38" s="136">
        <f t="shared" si="15"/>
        <v>9.6215799999999998</v>
      </c>
      <c r="E38" s="140">
        <f>0.24215+0.23892</f>
        <v>0.48107</v>
      </c>
      <c r="F38" s="140">
        <f>4.60098+4.53953</f>
        <v>9.140509999999999</v>
      </c>
      <c r="G38" s="136">
        <f t="shared" si="16"/>
        <v>0</v>
      </c>
      <c r="H38" s="136"/>
      <c r="I38" s="136"/>
      <c r="J38" s="136">
        <f t="shared" si="17"/>
        <v>9.6215799999999998</v>
      </c>
      <c r="K38" s="140">
        <f>0.24215+0.23892</f>
        <v>0.48107</v>
      </c>
      <c r="L38" s="140">
        <f>4.60098+4.53953</f>
        <v>9.140509999999999</v>
      </c>
      <c r="M38" s="201"/>
      <c r="N38" s="201"/>
      <c r="O38" s="187"/>
      <c r="P38" s="175"/>
      <c r="Q38" s="25" t="s">
        <v>592</v>
      </c>
      <c r="R38" s="193"/>
      <c r="T38" s="119"/>
    </row>
    <row r="39" spans="2:21" ht="231" customHeight="1" x14ac:dyDescent="0.25">
      <c r="B39" s="14"/>
      <c r="C39" s="28" t="s">
        <v>886</v>
      </c>
      <c r="D39" s="136">
        <f t="shared" si="15"/>
        <v>235.24845999999999</v>
      </c>
      <c r="E39" s="139">
        <v>13.249280000000001</v>
      </c>
      <c r="F39" s="136">
        <f>12.17618+209.823</f>
        <v>221.99918</v>
      </c>
      <c r="G39" s="136">
        <f t="shared" si="16"/>
        <v>474</v>
      </c>
      <c r="H39" s="136">
        <v>38.700000000000003</v>
      </c>
      <c r="I39" s="136">
        <v>435.3</v>
      </c>
      <c r="J39" s="136">
        <f t="shared" si="17"/>
        <v>204.18518</v>
      </c>
      <c r="K39" s="140">
        <f>2.7067+8.3933</f>
        <v>11.1</v>
      </c>
      <c r="L39" s="141">
        <f>21.444+11.09918+159.465+1.077</f>
        <v>193.08518000000001</v>
      </c>
      <c r="M39" s="132">
        <f t="shared" si="9"/>
        <v>86.795543741285286</v>
      </c>
      <c r="N39" s="13"/>
      <c r="O39" s="97" t="s">
        <v>55</v>
      </c>
      <c r="P39" s="204" t="s">
        <v>56</v>
      </c>
      <c r="Q39" s="35" t="s">
        <v>50</v>
      </c>
      <c r="R39" s="26" t="s">
        <v>57</v>
      </c>
    </row>
    <row r="40" spans="2:21" ht="111.75" customHeight="1" x14ac:dyDescent="0.25">
      <c r="B40" s="14"/>
      <c r="C40" s="28" t="s">
        <v>704</v>
      </c>
      <c r="D40" s="136">
        <f t="shared" si="15"/>
        <v>28.914000000000001</v>
      </c>
      <c r="E40" s="139"/>
      <c r="F40" s="136">
        <v>28.914000000000001</v>
      </c>
      <c r="G40" s="136">
        <f t="shared" si="16"/>
        <v>0</v>
      </c>
      <c r="H40" s="136"/>
      <c r="I40" s="136"/>
      <c r="J40" s="136">
        <f t="shared" si="17"/>
        <v>28.914000000000001</v>
      </c>
      <c r="K40" s="140"/>
      <c r="L40" s="141">
        <v>28.914000000000001</v>
      </c>
      <c r="M40" s="132">
        <f t="shared" si="9"/>
        <v>100</v>
      </c>
      <c r="N40" s="13"/>
      <c r="O40" s="97" t="s">
        <v>55</v>
      </c>
      <c r="P40" s="204"/>
      <c r="Q40" s="35" t="s">
        <v>924</v>
      </c>
      <c r="R40" s="26"/>
    </row>
    <row r="41" spans="2:21" ht="85.5" customHeight="1" x14ac:dyDescent="0.25">
      <c r="B41" s="14"/>
      <c r="C41" s="97" t="s">
        <v>58</v>
      </c>
      <c r="D41" s="136">
        <f t="shared" si="15"/>
        <v>70</v>
      </c>
      <c r="E41" s="139">
        <v>70</v>
      </c>
      <c r="F41" s="136"/>
      <c r="G41" s="136">
        <f t="shared" si="16"/>
        <v>70</v>
      </c>
      <c r="H41" s="139">
        <v>70</v>
      </c>
      <c r="I41" s="136"/>
      <c r="J41" s="136">
        <f t="shared" si="17"/>
        <v>9.8091799999999996</v>
      </c>
      <c r="K41" s="140">
        <f>1.25504+8.55414</f>
        <v>9.8091799999999996</v>
      </c>
      <c r="L41" s="141"/>
      <c r="M41" s="132">
        <f t="shared" si="9"/>
        <v>14.013114285714286</v>
      </c>
      <c r="N41" s="13"/>
      <c r="O41" s="14" t="s">
        <v>111</v>
      </c>
      <c r="P41" s="95">
        <v>17</v>
      </c>
      <c r="Q41" s="99" t="s">
        <v>817</v>
      </c>
      <c r="R41" s="12"/>
    </row>
    <row r="42" spans="2:21" ht="76.5" x14ac:dyDescent="0.25">
      <c r="B42" s="14"/>
      <c r="C42" s="93" t="s">
        <v>371</v>
      </c>
      <c r="D42" s="136">
        <f t="shared" si="15"/>
        <v>148.98486</v>
      </c>
      <c r="E42" s="140">
        <v>148.98486</v>
      </c>
      <c r="F42" s="140"/>
      <c r="G42" s="136">
        <f t="shared" si="16"/>
        <v>148.98486</v>
      </c>
      <c r="H42" s="140">
        <v>148.98486</v>
      </c>
      <c r="I42" s="140"/>
      <c r="J42" s="136">
        <f t="shared" si="17"/>
        <v>148.98486</v>
      </c>
      <c r="K42" s="141">
        <v>148.98486</v>
      </c>
      <c r="L42" s="142"/>
      <c r="M42" s="132">
        <f t="shared" si="9"/>
        <v>100</v>
      </c>
      <c r="N42" s="13"/>
      <c r="O42" s="97" t="s">
        <v>511</v>
      </c>
      <c r="P42" s="22">
        <v>134</v>
      </c>
      <c r="Q42" s="25" t="s">
        <v>46</v>
      </c>
      <c r="R42" s="12"/>
    </row>
    <row r="43" spans="2:21" ht="114.75" x14ac:dyDescent="0.25">
      <c r="B43" s="14"/>
      <c r="C43" s="93" t="s">
        <v>372</v>
      </c>
      <c r="D43" s="136">
        <f t="shared" si="15"/>
        <v>102.39593000000001</v>
      </c>
      <c r="E43" s="140">
        <v>102.39593000000001</v>
      </c>
      <c r="F43" s="140"/>
      <c r="G43" s="136">
        <f t="shared" si="16"/>
        <v>102.39593000000001</v>
      </c>
      <c r="H43" s="140">
        <v>102.39593000000001</v>
      </c>
      <c r="I43" s="140"/>
      <c r="J43" s="136">
        <f t="shared" si="17"/>
        <v>83.466210000000018</v>
      </c>
      <c r="K43" s="141">
        <f>37.62859+16.32787+20.59993+2.85227+6.05755</f>
        <v>83.466210000000018</v>
      </c>
      <c r="L43" s="142"/>
      <c r="M43" s="132">
        <f>(J43+I44)/D43*100</f>
        <v>81.513210534832794</v>
      </c>
      <c r="N43" s="13"/>
      <c r="O43" s="97" t="s">
        <v>513</v>
      </c>
      <c r="P43" s="22">
        <v>29</v>
      </c>
      <c r="Q43" s="35" t="s">
        <v>373</v>
      </c>
      <c r="R43" s="12"/>
    </row>
    <row r="44" spans="2:21" ht="87" customHeight="1" x14ac:dyDescent="0.25">
      <c r="B44" s="14"/>
      <c r="C44" s="25" t="s">
        <v>867</v>
      </c>
      <c r="D44" s="136">
        <f t="shared" si="15"/>
        <v>27.984000000000002</v>
      </c>
      <c r="E44" s="140"/>
      <c r="F44" s="140">
        <v>27.984000000000002</v>
      </c>
      <c r="G44" s="136">
        <f t="shared" si="16"/>
        <v>0</v>
      </c>
      <c r="H44" s="140"/>
      <c r="I44" s="140"/>
      <c r="J44" s="136">
        <f t="shared" si="17"/>
        <v>27.983799999999999</v>
      </c>
      <c r="K44" s="141"/>
      <c r="L44" s="142">
        <v>27.983799999999999</v>
      </c>
      <c r="M44" s="201">
        <f>J45+J44/D45%</f>
        <v>105.87351920527277</v>
      </c>
      <c r="N44" s="201"/>
      <c r="O44" s="187" t="s">
        <v>512</v>
      </c>
      <c r="P44" s="175">
        <v>61</v>
      </c>
      <c r="Q44" s="37" t="s">
        <v>592</v>
      </c>
      <c r="R44" s="12"/>
    </row>
    <row r="45" spans="2:21" ht="75" customHeight="1" x14ac:dyDescent="0.25">
      <c r="B45" s="14"/>
      <c r="C45" s="25" t="s">
        <v>593</v>
      </c>
      <c r="D45" s="136">
        <f t="shared" si="15"/>
        <v>50.95673</v>
      </c>
      <c r="E45" s="140"/>
      <c r="F45" s="142">
        <v>50.95673</v>
      </c>
      <c r="G45" s="136">
        <f t="shared" si="16"/>
        <v>148.84915000000001</v>
      </c>
      <c r="H45" s="140"/>
      <c r="I45" s="140">
        <v>148.84915000000001</v>
      </c>
      <c r="J45" s="136">
        <f t="shared" si="17"/>
        <v>50.95673</v>
      </c>
      <c r="K45" s="141"/>
      <c r="L45" s="142">
        <v>50.95673</v>
      </c>
      <c r="M45" s="201"/>
      <c r="N45" s="201"/>
      <c r="O45" s="187"/>
      <c r="P45" s="175"/>
      <c r="Q45" s="37" t="s">
        <v>396</v>
      </c>
      <c r="R45" s="12"/>
      <c r="S45" s="116"/>
    </row>
    <row r="46" spans="2:21" ht="67.5" customHeight="1" x14ac:dyDescent="0.25">
      <c r="B46" s="14"/>
      <c r="C46" s="25" t="s">
        <v>397</v>
      </c>
      <c r="D46" s="136">
        <f t="shared" si="15"/>
        <v>180</v>
      </c>
      <c r="E46" s="140">
        <v>180</v>
      </c>
      <c r="F46" s="140"/>
      <c r="G46" s="136">
        <f t="shared" si="16"/>
        <v>286.31612000000001</v>
      </c>
      <c r="H46" s="140">
        <v>286.31612000000001</v>
      </c>
      <c r="I46" s="140"/>
      <c r="J46" s="136">
        <f t="shared" si="17"/>
        <v>159.49354</v>
      </c>
      <c r="K46" s="141">
        <f>112.46841+47.02513</f>
        <v>159.49354</v>
      </c>
      <c r="L46" s="142"/>
      <c r="M46" s="132">
        <f t="shared" si="9"/>
        <v>88.607522222222215</v>
      </c>
      <c r="N46" s="13"/>
      <c r="O46" s="203" t="s">
        <v>487</v>
      </c>
      <c r="P46" s="175">
        <v>59</v>
      </c>
      <c r="Q46" s="188" t="s">
        <v>46</v>
      </c>
      <c r="R46" s="12"/>
    </row>
    <row r="47" spans="2:21" ht="45" customHeight="1" x14ac:dyDescent="0.25">
      <c r="B47" s="14"/>
      <c r="C47" s="25" t="s">
        <v>398</v>
      </c>
      <c r="D47" s="136">
        <f t="shared" si="15"/>
        <v>250</v>
      </c>
      <c r="E47" s="140">
        <v>250</v>
      </c>
      <c r="F47" s="140"/>
      <c r="G47" s="136">
        <f t="shared" si="16"/>
        <v>243.62017</v>
      </c>
      <c r="H47" s="140">
        <v>243.62017</v>
      </c>
      <c r="I47" s="140"/>
      <c r="J47" s="136">
        <f t="shared" si="17"/>
        <v>163.47012000000001</v>
      </c>
      <c r="K47" s="141">
        <f>46.91918+52.97487+63.57607</f>
        <v>163.47012000000001</v>
      </c>
      <c r="L47" s="142"/>
      <c r="M47" s="132">
        <f t="shared" si="9"/>
        <v>65.388047999999998</v>
      </c>
      <c r="N47" s="13">
        <v>80</v>
      </c>
      <c r="O47" s="203"/>
      <c r="P47" s="175"/>
      <c r="Q47" s="188"/>
      <c r="R47" s="12"/>
    </row>
    <row r="48" spans="2:21" ht="101.25" customHeight="1" x14ac:dyDescent="0.25">
      <c r="B48" s="14"/>
      <c r="C48" s="25" t="s">
        <v>595</v>
      </c>
      <c r="D48" s="136">
        <f t="shared" si="15"/>
        <v>1839.8884</v>
      </c>
      <c r="E48" s="141">
        <v>275.98322000000002</v>
      </c>
      <c r="F48" s="143">
        <v>1563.90518</v>
      </c>
      <c r="G48" s="136">
        <f t="shared" si="16"/>
        <v>1839.8884</v>
      </c>
      <c r="H48" s="141">
        <v>275.98322000000002</v>
      </c>
      <c r="I48" s="143">
        <v>1563.90518</v>
      </c>
      <c r="J48" s="136">
        <f t="shared" si="17"/>
        <v>1023.23329</v>
      </c>
      <c r="K48" s="141">
        <f>81.3658+55.19669+16.92253</f>
        <v>153.48501999999999</v>
      </c>
      <c r="L48" s="143">
        <f>461.07291+312.781+95.89436</f>
        <v>869.74827000000005</v>
      </c>
      <c r="M48" s="132">
        <f t="shared" si="9"/>
        <v>55.613877993904417</v>
      </c>
      <c r="N48" s="13">
        <v>100</v>
      </c>
      <c r="O48" s="97" t="s">
        <v>514</v>
      </c>
      <c r="P48" s="94">
        <v>53</v>
      </c>
      <c r="Q48" s="25" t="s">
        <v>431</v>
      </c>
      <c r="R48" s="12"/>
    </row>
    <row r="49" spans="2:23" ht="170.25" customHeight="1" x14ac:dyDescent="0.25">
      <c r="B49" s="14"/>
      <c r="C49" s="38" t="s">
        <v>441</v>
      </c>
      <c r="D49" s="136">
        <f t="shared" si="15"/>
        <v>20.357000000000003</v>
      </c>
      <c r="E49" s="141">
        <v>1.01789</v>
      </c>
      <c r="F49" s="142">
        <v>19.339110000000002</v>
      </c>
      <c r="G49" s="136">
        <f t="shared" si="16"/>
        <v>20.357000000000003</v>
      </c>
      <c r="H49" s="141">
        <v>1.01789</v>
      </c>
      <c r="I49" s="142">
        <v>19.339110000000002</v>
      </c>
      <c r="J49" s="136">
        <f t="shared" si="17"/>
        <v>20.357000000000003</v>
      </c>
      <c r="K49" s="141">
        <v>1.01789</v>
      </c>
      <c r="L49" s="142">
        <v>19.339110000000002</v>
      </c>
      <c r="M49" s="132">
        <f t="shared" si="9"/>
        <v>100</v>
      </c>
      <c r="N49" s="13"/>
      <c r="O49" s="185" t="s">
        <v>432</v>
      </c>
      <c r="P49" s="175" t="s">
        <v>705</v>
      </c>
      <c r="Q49" s="190" t="s">
        <v>437</v>
      </c>
      <c r="R49" s="12"/>
    </row>
    <row r="50" spans="2:23" ht="153" x14ac:dyDescent="0.25">
      <c r="B50" s="14"/>
      <c r="C50" s="38" t="s">
        <v>442</v>
      </c>
      <c r="D50" s="136">
        <f t="shared" si="15"/>
        <v>15.084430000000001</v>
      </c>
      <c r="E50" s="141">
        <v>0.75458999999999998</v>
      </c>
      <c r="F50" s="142">
        <v>14.329840000000001</v>
      </c>
      <c r="G50" s="136">
        <f t="shared" si="16"/>
        <v>15.084430000000001</v>
      </c>
      <c r="H50" s="141">
        <v>0.75458999999999998</v>
      </c>
      <c r="I50" s="142">
        <v>14.329840000000001</v>
      </c>
      <c r="J50" s="136">
        <f t="shared" si="17"/>
        <v>15.084430000000001</v>
      </c>
      <c r="K50" s="141">
        <v>0.75458999999999998</v>
      </c>
      <c r="L50" s="142">
        <v>14.329840000000001</v>
      </c>
      <c r="M50" s="132">
        <f t="shared" si="9"/>
        <v>100</v>
      </c>
      <c r="N50" s="13"/>
      <c r="O50" s="185"/>
      <c r="P50" s="175"/>
      <c r="Q50" s="190"/>
      <c r="R50" s="12"/>
      <c r="W50" s="120"/>
    </row>
    <row r="51" spans="2:23" ht="166.5" customHeight="1" x14ac:dyDescent="0.25">
      <c r="B51" s="14"/>
      <c r="C51" s="38" t="s">
        <v>443</v>
      </c>
      <c r="D51" s="136">
        <f t="shared" si="15"/>
        <v>65.444130000000001</v>
      </c>
      <c r="E51" s="141">
        <v>3.2720099999999999</v>
      </c>
      <c r="F51" s="142">
        <v>62.17212</v>
      </c>
      <c r="G51" s="136">
        <f t="shared" si="16"/>
        <v>65.444130000000001</v>
      </c>
      <c r="H51" s="141">
        <v>3.2720099999999999</v>
      </c>
      <c r="I51" s="142">
        <v>62.17212</v>
      </c>
      <c r="J51" s="136">
        <f t="shared" si="17"/>
        <v>65.444130000000001</v>
      </c>
      <c r="K51" s="141">
        <v>3.2720099999999999</v>
      </c>
      <c r="L51" s="142">
        <v>62.17212</v>
      </c>
      <c r="M51" s="132">
        <f t="shared" si="9"/>
        <v>100</v>
      </c>
      <c r="N51" s="13"/>
      <c r="O51" s="185"/>
      <c r="P51" s="175"/>
      <c r="Q51" s="190"/>
      <c r="R51" s="12"/>
      <c r="W51" s="120"/>
    </row>
    <row r="52" spans="2:23" ht="152.25" customHeight="1" x14ac:dyDescent="0.25">
      <c r="B52" s="14"/>
      <c r="C52" s="38" t="s">
        <v>444</v>
      </c>
      <c r="D52" s="136">
        <f t="shared" si="15"/>
        <v>80.580849999999998</v>
      </c>
      <c r="E52" s="141">
        <v>4.0291300000000003</v>
      </c>
      <c r="F52" s="142">
        <v>76.551720000000003</v>
      </c>
      <c r="G52" s="136">
        <f t="shared" si="16"/>
        <v>80.580849999999998</v>
      </c>
      <c r="H52" s="141">
        <v>4.0291300000000003</v>
      </c>
      <c r="I52" s="142">
        <v>76.551720000000003</v>
      </c>
      <c r="J52" s="136">
        <f t="shared" si="17"/>
        <v>80.580849999999998</v>
      </c>
      <c r="K52" s="141">
        <v>4.0291300000000003</v>
      </c>
      <c r="L52" s="142">
        <v>76.551720000000003</v>
      </c>
      <c r="M52" s="132">
        <f t="shared" si="9"/>
        <v>100</v>
      </c>
      <c r="N52" s="13"/>
      <c r="O52" s="185"/>
      <c r="P52" s="175"/>
      <c r="Q52" s="190"/>
      <c r="R52" s="12"/>
      <c r="W52" s="120"/>
    </row>
    <row r="53" spans="2:23" ht="168.75" customHeight="1" x14ac:dyDescent="0.25">
      <c r="B53" s="14"/>
      <c r="C53" s="38" t="s">
        <v>445</v>
      </c>
      <c r="D53" s="136">
        <f t="shared" si="15"/>
        <v>79.088610000000003</v>
      </c>
      <c r="E53" s="141">
        <f>27.82932-0.75459</f>
        <v>27.074729999999999</v>
      </c>
      <c r="F53" s="142">
        <v>52.01388</v>
      </c>
      <c r="G53" s="136">
        <f t="shared" si="16"/>
        <v>79.088610000000003</v>
      </c>
      <c r="H53" s="141">
        <f>27.82932-0.75459</f>
        <v>27.074729999999999</v>
      </c>
      <c r="I53" s="142">
        <v>52.01388</v>
      </c>
      <c r="J53" s="136">
        <f t="shared" si="17"/>
        <v>79.088610000000003</v>
      </c>
      <c r="K53" s="141">
        <f>27.82932-0.75459</f>
        <v>27.074729999999999</v>
      </c>
      <c r="L53" s="142">
        <v>52.01388</v>
      </c>
      <c r="M53" s="132">
        <f t="shared" si="9"/>
        <v>100</v>
      </c>
      <c r="N53" s="13"/>
      <c r="O53" s="185"/>
      <c r="P53" s="175"/>
      <c r="Q53" s="190"/>
      <c r="R53" s="12"/>
      <c r="W53" s="120"/>
    </row>
    <row r="54" spans="2:23" ht="161.25" customHeight="1" x14ac:dyDescent="0.25">
      <c r="B54" s="14"/>
      <c r="C54" s="29" t="s">
        <v>446</v>
      </c>
      <c r="D54" s="136">
        <f t="shared" si="15"/>
        <v>38.422800000000002</v>
      </c>
      <c r="E54" s="141">
        <v>2.0676800000000002</v>
      </c>
      <c r="F54" s="142">
        <v>36.355119999999999</v>
      </c>
      <c r="G54" s="136">
        <f t="shared" si="16"/>
        <v>38.422800000000002</v>
      </c>
      <c r="H54" s="141">
        <v>2.0676800000000002</v>
      </c>
      <c r="I54" s="142">
        <v>36.355119999999999</v>
      </c>
      <c r="J54" s="136">
        <f t="shared" si="17"/>
        <v>38.422800000000002</v>
      </c>
      <c r="K54" s="141">
        <v>2.0676800000000002</v>
      </c>
      <c r="L54" s="142">
        <v>36.355119999999999</v>
      </c>
      <c r="M54" s="132">
        <f t="shared" si="9"/>
        <v>100</v>
      </c>
      <c r="N54" s="13"/>
      <c r="O54" s="187" t="s">
        <v>433</v>
      </c>
      <c r="P54" s="184" t="s">
        <v>706</v>
      </c>
      <c r="Q54" s="189" t="s">
        <v>596</v>
      </c>
      <c r="R54" s="12"/>
      <c r="W54" s="120"/>
    </row>
    <row r="55" spans="2:23" ht="144" customHeight="1" x14ac:dyDescent="0.25">
      <c r="B55" s="14"/>
      <c r="C55" s="29" t="s">
        <v>447</v>
      </c>
      <c r="D55" s="136">
        <f t="shared" si="15"/>
        <v>33.095770000000002</v>
      </c>
      <c r="E55" s="141">
        <v>1.89907</v>
      </c>
      <c r="F55" s="142">
        <v>31.1967</v>
      </c>
      <c r="G55" s="136">
        <f t="shared" si="16"/>
        <v>33.095770000000002</v>
      </c>
      <c r="H55" s="141">
        <v>1.89907</v>
      </c>
      <c r="I55" s="142">
        <v>31.1967</v>
      </c>
      <c r="J55" s="136">
        <f t="shared" si="17"/>
        <v>33.095770000000002</v>
      </c>
      <c r="K55" s="141">
        <v>1.89907</v>
      </c>
      <c r="L55" s="142">
        <v>31.1967</v>
      </c>
      <c r="M55" s="132">
        <f t="shared" si="9"/>
        <v>100</v>
      </c>
      <c r="N55" s="13"/>
      <c r="O55" s="187"/>
      <c r="P55" s="184"/>
      <c r="Q55" s="189"/>
      <c r="R55" s="12"/>
      <c r="W55" s="120"/>
    </row>
    <row r="56" spans="2:23" ht="160.5" customHeight="1" x14ac:dyDescent="0.25">
      <c r="B56" s="14"/>
      <c r="C56" s="29" t="s">
        <v>448</v>
      </c>
      <c r="D56" s="136">
        <f t="shared" si="15"/>
        <v>17.159969999999998</v>
      </c>
      <c r="E56" s="141">
        <f>0.00067+0.85802</f>
        <v>0.85868999999999995</v>
      </c>
      <c r="F56" s="142">
        <v>16.301279999999998</v>
      </c>
      <c r="G56" s="136">
        <f t="shared" si="16"/>
        <v>17.159969999999998</v>
      </c>
      <c r="H56" s="141">
        <f>0.00067+0.85802</f>
        <v>0.85868999999999995</v>
      </c>
      <c r="I56" s="142">
        <v>16.301279999999998</v>
      </c>
      <c r="J56" s="136">
        <f t="shared" si="17"/>
        <v>17.159969999999998</v>
      </c>
      <c r="K56" s="141">
        <f>0.00067+0.85802</f>
        <v>0.85868999999999995</v>
      </c>
      <c r="L56" s="142">
        <v>16.301279999999998</v>
      </c>
      <c r="M56" s="132">
        <f t="shared" si="9"/>
        <v>100</v>
      </c>
      <c r="N56" s="13"/>
      <c r="O56" s="187"/>
      <c r="P56" s="184"/>
      <c r="Q56" s="189"/>
      <c r="R56" s="12"/>
      <c r="W56" s="120"/>
    </row>
    <row r="57" spans="2:23" ht="139.5" customHeight="1" x14ac:dyDescent="0.25">
      <c r="B57" s="14"/>
      <c r="C57" s="29" t="s">
        <v>449</v>
      </c>
      <c r="D57" s="136">
        <f t="shared" si="15"/>
        <v>116.54084</v>
      </c>
      <c r="E57" s="141">
        <f>-0.00067+5.43616</f>
        <v>5.4354899999999997</v>
      </c>
      <c r="F57" s="142">
        <v>111.10535</v>
      </c>
      <c r="G57" s="136">
        <f t="shared" si="16"/>
        <v>116.54084</v>
      </c>
      <c r="H57" s="141">
        <f>-0.00067+0.38735+5.04881</f>
        <v>5.4354899999999997</v>
      </c>
      <c r="I57" s="142">
        <v>111.10535</v>
      </c>
      <c r="J57" s="136">
        <f t="shared" si="17"/>
        <v>111.49203</v>
      </c>
      <c r="K57" s="141">
        <f>-0.00067+0.38735</f>
        <v>0.38668000000000002</v>
      </c>
      <c r="L57" s="142">
        <f>111.10535</f>
        <v>111.10535</v>
      </c>
      <c r="M57" s="132">
        <f t="shared" si="9"/>
        <v>95.667776206178019</v>
      </c>
      <c r="N57" s="13"/>
      <c r="O57" s="187"/>
      <c r="P57" s="184"/>
      <c r="Q57" s="189"/>
      <c r="R57" s="12"/>
      <c r="W57" s="120"/>
    </row>
    <row r="58" spans="2:23" ht="148.5" customHeight="1" x14ac:dyDescent="0.25">
      <c r="B58" s="14"/>
      <c r="C58" s="39" t="s">
        <v>597</v>
      </c>
      <c r="D58" s="136">
        <f t="shared" si="15"/>
        <v>389.38238999999999</v>
      </c>
      <c r="E58" s="140">
        <v>389.38238999999999</v>
      </c>
      <c r="F58" s="140"/>
      <c r="G58" s="136">
        <f t="shared" si="16"/>
        <v>389.38238999999999</v>
      </c>
      <c r="H58" s="140">
        <v>389.38238999999999</v>
      </c>
      <c r="I58" s="140"/>
      <c r="J58" s="136">
        <f t="shared" si="17"/>
        <v>380.03755000000001</v>
      </c>
      <c r="K58" s="141">
        <f>73.38611+88.31349+218.33795</f>
        <v>380.03755000000001</v>
      </c>
      <c r="L58" s="142"/>
      <c r="M58" s="132">
        <f t="shared" si="9"/>
        <v>97.600086639768179</v>
      </c>
      <c r="N58" s="13"/>
      <c r="O58" s="97" t="s">
        <v>701</v>
      </c>
      <c r="P58" s="22" t="s">
        <v>434</v>
      </c>
      <c r="Q58" s="40" t="s">
        <v>489</v>
      </c>
      <c r="R58" s="12"/>
    </row>
    <row r="59" spans="2:23" ht="72.75" customHeight="1" x14ac:dyDescent="0.25">
      <c r="B59" s="14"/>
      <c r="C59" s="41" t="s">
        <v>598</v>
      </c>
      <c r="D59" s="136">
        <f t="shared" si="15"/>
        <v>168.86255999999997</v>
      </c>
      <c r="E59" s="140">
        <v>8.4425600000000003</v>
      </c>
      <c r="F59" s="140">
        <v>160.41999999999999</v>
      </c>
      <c r="G59" s="136">
        <f t="shared" si="16"/>
        <v>180.90342000000001</v>
      </c>
      <c r="H59" s="140">
        <v>9.04542</v>
      </c>
      <c r="I59" s="140">
        <v>171.858</v>
      </c>
      <c r="J59" s="136">
        <f t="shared" si="17"/>
        <v>168.86255999999997</v>
      </c>
      <c r="K59" s="141">
        <f>8.44256</f>
        <v>8.4425600000000003</v>
      </c>
      <c r="L59" s="142">
        <v>160.41999999999999</v>
      </c>
      <c r="M59" s="169">
        <f t="shared" si="9"/>
        <v>100</v>
      </c>
      <c r="N59" s="13"/>
      <c r="O59" s="171" t="s">
        <v>485</v>
      </c>
      <c r="P59" s="173">
        <v>36</v>
      </c>
      <c r="Q59" s="35" t="s">
        <v>494</v>
      </c>
      <c r="R59" s="12"/>
      <c r="S59" s="119"/>
    </row>
    <row r="60" spans="2:23" ht="125.25" customHeight="1" x14ac:dyDescent="0.25">
      <c r="B60" s="14"/>
      <c r="C60" s="41" t="s">
        <v>640</v>
      </c>
      <c r="D60" s="136">
        <f t="shared" si="15"/>
        <v>12.04083</v>
      </c>
      <c r="E60" s="141">
        <v>0.60282999999999998</v>
      </c>
      <c r="F60" s="142">
        <v>11.438000000000001</v>
      </c>
      <c r="G60" s="136">
        <f t="shared" si="16"/>
        <v>0</v>
      </c>
      <c r="H60" s="140"/>
      <c r="I60" s="140"/>
      <c r="J60" s="136">
        <f t="shared" si="17"/>
        <v>12.04086</v>
      </c>
      <c r="K60" s="141">
        <v>0.60285999999999995</v>
      </c>
      <c r="L60" s="142">
        <v>11.438000000000001</v>
      </c>
      <c r="M60" s="170"/>
      <c r="N60" s="13"/>
      <c r="O60" s="172"/>
      <c r="P60" s="174"/>
      <c r="Q60" s="35" t="s">
        <v>376</v>
      </c>
      <c r="R60" s="12"/>
      <c r="S60" s="120"/>
    </row>
    <row r="61" spans="2:23" ht="78" customHeight="1" x14ac:dyDescent="0.25">
      <c r="B61" s="14"/>
      <c r="C61" s="39" t="s">
        <v>599</v>
      </c>
      <c r="D61" s="136">
        <f t="shared" si="15"/>
        <v>653.65174000000002</v>
      </c>
      <c r="E61" s="140">
        <v>653.65174000000002</v>
      </c>
      <c r="F61" s="140"/>
      <c r="G61" s="136">
        <f t="shared" si="16"/>
        <v>653.65174000000002</v>
      </c>
      <c r="H61" s="140">
        <v>653.65174000000002</v>
      </c>
      <c r="I61" s="140"/>
      <c r="J61" s="136">
        <f t="shared" si="17"/>
        <v>176.90045000000001</v>
      </c>
      <c r="K61" s="141">
        <f>55.02407+66.7275+55.14888</f>
        <v>176.90045000000001</v>
      </c>
      <c r="L61" s="142"/>
      <c r="M61" s="132">
        <f t="shared" si="9"/>
        <v>27.063409943649809</v>
      </c>
      <c r="N61" s="13">
        <v>80</v>
      </c>
      <c r="O61" s="97" t="s">
        <v>484</v>
      </c>
      <c r="P61" s="22">
        <v>67</v>
      </c>
      <c r="Q61" s="35" t="s">
        <v>494</v>
      </c>
      <c r="R61" s="12"/>
    </row>
    <row r="62" spans="2:23" ht="117" customHeight="1" x14ac:dyDescent="0.25">
      <c r="B62" s="14"/>
      <c r="C62" s="39" t="s">
        <v>600</v>
      </c>
      <c r="D62" s="136">
        <f t="shared" si="15"/>
        <v>453.06</v>
      </c>
      <c r="E62" s="140">
        <v>453.06</v>
      </c>
      <c r="F62" s="140"/>
      <c r="G62" s="136">
        <f t="shared" ref="G62:G65" si="18">H62+I62</f>
        <v>515.29863</v>
      </c>
      <c r="H62" s="140">
        <v>515.29863</v>
      </c>
      <c r="I62" s="140"/>
      <c r="J62" s="136">
        <f t="shared" ref="J62:J65" si="19">K62+L62</f>
        <v>123.74377</v>
      </c>
      <c r="K62" s="141">
        <v>123.74377</v>
      </c>
      <c r="L62" s="142"/>
      <c r="M62" s="132">
        <f t="shared" si="9"/>
        <v>27.312887917715095</v>
      </c>
      <c r="N62" s="13">
        <v>85</v>
      </c>
      <c r="O62" s="97" t="s">
        <v>492</v>
      </c>
      <c r="P62" s="42" t="s">
        <v>435</v>
      </c>
      <c r="Q62" s="40" t="s">
        <v>490</v>
      </c>
      <c r="R62" s="12"/>
    </row>
    <row r="63" spans="2:23" ht="76.5" x14ac:dyDescent="0.25">
      <c r="B63" s="14"/>
      <c r="C63" s="39" t="s">
        <v>601</v>
      </c>
      <c r="D63" s="136">
        <f t="shared" si="15"/>
        <v>238.23</v>
      </c>
      <c r="E63" s="140">
        <v>238.23</v>
      </c>
      <c r="F63" s="140"/>
      <c r="G63" s="136">
        <f t="shared" si="18"/>
        <v>829.98</v>
      </c>
      <c r="H63" s="140">
        <v>829.98</v>
      </c>
      <c r="I63" s="140"/>
      <c r="J63" s="136">
        <f t="shared" si="19"/>
        <v>215.47399999999999</v>
      </c>
      <c r="K63" s="141">
        <v>215.47399999999999</v>
      </c>
      <c r="L63" s="142"/>
      <c r="M63" s="132">
        <f t="shared" si="9"/>
        <v>90.447886496243129</v>
      </c>
      <c r="N63" s="13"/>
      <c r="O63" s="97" t="s">
        <v>707</v>
      </c>
      <c r="P63" s="22" t="s">
        <v>436</v>
      </c>
      <c r="Q63" s="40" t="s">
        <v>490</v>
      </c>
      <c r="R63" s="12" t="s">
        <v>491</v>
      </c>
    </row>
    <row r="64" spans="2:23" ht="114.75" x14ac:dyDescent="0.25">
      <c r="B64" s="14"/>
      <c r="C64" s="43" t="s">
        <v>602</v>
      </c>
      <c r="D64" s="136">
        <f t="shared" si="15"/>
        <v>38.203000000000003</v>
      </c>
      <c r="E64" s="140">
        <v>38.203000000000003</v>
      </c>
      <c r="F64" s="140"/>
      <c r="G64" s="136">
        <f t="shared" si="18"/>
        <v>38.203000000000003</v>
      </c>
      <c r="H64" s="140">
        <v>38.203000000000003</v>
      </c>
      <c r="I64" s="140"/>
      <c r="J64" s="136">
        <f t="shared" si="19"/>
        <v>10.423579999999999</v>
      </c>
      <c r="K64" s="141">
        <f>10.42358</f>
        <v>10.423579999999999</v>
      </c>
      <c r="L64" s="142"/>
      <c r="M64" s="132">
        <f t="shared" si="9"/>
        <v>27.284715860010991</v>
      </c>
      <c r="N64" s="13"/>
      <c r="O64" s="97" t="s">
        <v>486</v>
      </c>
      <c r="P64" s="22">
        <v>37</v>
      </c>
      <c r="Q64" s="41" t="s">
        <v>495</v>
      </c>
      <c r="R64" s="12"/>
    </row>
    <row r="65" spans="2:23" ht="81" customHeight="1" x14ac:dyDescent="0.25">
      <c r="B65" s="14"/>
      <c r="C65" s="28" t="s">
        <v>622</v>
      </c>
      <c r="D65" s="136">
        <f t="shared" ref="D65" si="20">E65+F65</f>
        <v>200</v>
      </c>
      <c r="E65" s="144">
        <v>200</v>
      </c>
      <c r="F65" s="136"/>
      <c r="G65" s="136">
        <f t="shared" si="18"/>
        <v>338.33800000000002</v>
      </c>
      <c r="H65" s="144">
        <v>338.33800000000002</v>
      </c>
      <c r="I65" s="144"/>
      <c r="J65" s="136">
        <f t="shared" si="19"/>
        <v>52.547499999999999</v>
      </c>
      <c r="K65" s="144">
        <f>52.5475</f>
        <v>52.547499999999999</v>
      </c>
      <c r="L65" s="140"/>
      <c r="M65" s="132">
        <f t="shared" ref="M65:M74" si="21">J65/D65%</f>
        <v>26.27375</v>
      </c>
      <c r="N65" s="13"/>
      <c r="O65" s="105" t="s">
        <v>899</v>
      </c>
      <c r="P65" s="44" t="s">
        <v>623</v>
      </c>
      <c r="Q65" s="34" t="s">
        <v>46</v>
      </c>
      <c r="R65" s="12"/>
    </row>
    <row r="66" spans="2:23" ht="142.5" customHeight="1" x14ac:dyDescent="0.25">
      <c r="B66" s="14"/>
      <c r="C66" s="28" t="s">
        <v>624</v>
      </c>
      <c r="D66" s="136">
        <f t="shared" ref="D66:D74" si="22">E66+F66</f>
        <v>75.471599999999995</v>
      </c>
      <c r="E66" s="144">
        <v>3.7736000000000001</v>
      </c>
      <c r="F66" s="136">
        <v>71.697999999999993</v>
      </c>
      <c r="G66" s="136">
        <f t="shared" ref="G66:G74" si="23">H66+I66</f>
        <v>94.34</v>
      </c>
      <c r="H66" s="139">
        <v>4.7169999999999996</v>
      </c>
      <c r="I66" s="139">
        <v>89.623000000000005</v>
      </c>
      <c r="J66" s="136">
        <f t="shared" ref="J66:J74" si="24">K66+L66</f>
        <v>71.697999999999993</v>
      </c>
      <c r="K66" s="141"/>
      <c r="L66" s="142">
        <v>71.697999999999993</v>
      </c>
      <c r="M66" s="132">
        <f t="shared" si="21"/>
        <v>94.999973499965549</v>
      </c>
      <c r="N66" s="13"/>
      <c r="O66" s="187" t="s">
        <v>900</v>
      </c>
      <c r="P66" s="175" t="s">
        <v>628</v>
      </c>
      <c r="Q66" s="180" t="s">
        <v>376</v>
      </c>
      <c r="R66" s="12"/>
      <c r="V66" s="115"/>
      <c r="W66" s="115"/>
    </row>
    <row r="67" spans="2:23" ht="153.75" customHeight="1" x14ac:dyDescent="0.25">
      <c r="B67" s="14"/>
      <c r="C67" s="28" t="s">
        <v>625</v>
      </c>
      <c r="D67" s="136">
        <f t="shared" si="22"/>
        <v>72.504580000000004</v>
      </c>
      <c r="E67" s="144">
        <v>4.4541300000000001</v>
      </c>
      <c r="F67" s="142">
        <v>68.050449999999998</v>
      </c>
      <c r="G67" s="136">
        <f t="shared" si="23"/>
        <v>665.81307000000004</v>
      </c>
      <c r="H67" s="139">
        <v>33.290649999999999</v>
      </c>
      <c r="I67" s="139">
        <v>632.52242000000001</v>
      </c>
      <c r="J67" s="136">
        <f t="shared" si="24"/>
        <v>68.050449999999998</v>
      </c>
      <c r="K67" s="141"/>
      <c r="L67" s="142">
        <v>68.050449999999998</v>
      </c>
      <c r="M67" s="132">
        <f t="shared" si="21"/>
        <v>93.856760497061003</v>
      </c>
      <c r="N67" s="13"/>
      <c r="O67" s="187"/>
      <c r="P67" s="175"/>
      <c r="Q67" s="180"/>
      <c r="R67" s="12"/>
      <c r="V67" s="120"/>
      <c r="W67" s="120"/>
    </row>
    <row r="68" spans="2:23" ht="153.75" customHeight="1" x14ac:dyDescent="0.25">
      <c r="B68" s="14"/>
      <c r="C68" s="28" t="s">
        <v>626</v>
      </c>
      <c r="D68" s="136">
        <f t="shared" si="22"/>
        <v>24.987099999999998</v>
      </c>
      <c r="E68" s="144">
        <v>0.42093000000000003</v>
      </c>
      <c r="F68" s="142">
        <v>24.56617</v>
      </c>
      <c r="G68" s="136">
        <f t="shared" si="23"/>
        <v>323.65850999999998</v>
      </c>
      <c r="H68" s="139">
        <v>16.182929999999999</v>
      </c>
      <c r="I68" s="136">
        <v>307.47557999999998</v>
      </c>
      <c r="J68" s="136">
        <f t="shared" si="24"/>
        <v>24.56617</v>
      </c>
      <c r="K68" s="141"/>
      <c r="L68" s="142">
        <v>24.56617</v>
      </c>
      <c r="M68" s="132">
        <f t="shared" si="21"/>
        <v>98.315410751948008</v>
      </c>
      <c r="N68" s="13"/>
      <c r="O68" s="187"/>
      <c r="P68" s="175"/>
      <c r="Q68" s="180"/>
      <c r="R68" s="12"/>
      <c r="V68" s="120"/>
      <c r="W68" s="120"/>
    </row>
    <row r="69" spans="2:23" ht="143.25" customHeight="1" x14ac:dyDescent="0.25">
      <c r="B69" s="14"/>
      <c r="C69" s="28" t="s">
        <v>627</v>
      </c>
      <c r="D69" s="136">
        <f t="shared" si="22"/>
        <v>22.301439999999999</v>
      </c>
      <c r="E69" s="144">
        <v>1.1151899999999999</v>
      </c>
      <c r="F69" s="142">
        <v>21.186250000000001</v>
      </c>
      <c r="G69" s="136">
        <f t="shared" si="23"/>
        <v>92.072519999999997</v>
      </c>
      <c r="H69" s="139">
        <v>4.6036299999999999</v>
      </c>
      <c r="I69" s="136">
        <v>87.468890000000002</v>
      </c>
      <c r="J69" s="136">
        <f t="shared" si="24"/>
        <v>22.83897</v>
      </c>
      <c r="K69" s="141">
        <v>1.9035599999999999</v>
      </c>
      <c r="L69" s="142">
        <v>20.935410000000001</v>
      </c>
      <c r="M69" s="132">
        <f t="shared" si="21"/>
        <v>102.41029278826838</v>
      </c>
      <c r="N69" s="13"/>
      <c r="O69" s="187"/>
      <c r="P69" s="175"/>
      <c r="Q69" s="180"/>
      <c r="R69" s="12"/>
      <c r="V69" s="120"/>
      <c r="W69" s="120"/>
    </row>
    <row r="70" spans="2:23" ht="76.5" x14ac:dyDescent="0.25">
      <c r="B70" s="14"/>
      <c r="C70" s="28" t="s">
        <v>629</v>
      </c>
      <c r="D70" s="136">
        <f t="shared" si="22"/>
        <v>200</v>
      </c>
      <c r="E70" s="144">
        <v>200</v>
      </c>
      <c r="F70" s="136"/>
      <c r="G70" s="136">
        <f t="shared" si="23"/>
        <v>405.00024999999999</v>
      </c>
      <c r="H70" s="144">
        <v>405.00024999999999</v>
      </c>
      <c r="I70" s="144"/>
      <c r="J70" s="136">
        <f t="shared" si="24"/>
        <v>143.97552000000002</v>
      </c>
      <c r="K70" s="141">
        <f>69.97553+73.99999</f>
        <v>143.97552000000002</v>
      </c>
      <c r="L70" s="142"/>
      <c r="M70" s="132">
        <f t="shared" si="21"/>
        <v>71.987760000000009</v>
      </c>
      <c r="N70" s="13"/>
      <c r="O70" s="97" t="s">
        <v>778</v>
      </c>
      <c r="P70" s="22" t="s">
        <v>630</v>
      </c>
      <c r="Q70" s="34" t="s">
        <v>431</v>
      </c>
      <c r="R70" s="12"/>
    </row>
    <row r="71" spans="2:23" ht="89.25" customHeight="1" x14ac:dyDescent="0.25">
      <c r="B71" s="14"/>
      <c r="C71" s="28" t="s">
        <v>631</v>
      </c>
      <c r="D71" s="136">
        <f t="shared" si="22"/>
        <v>150</v>
      </c>
      <c r="E71" s="144">
        <v>150</v>
      </c>
      <c r="F71" s="136"/>
      <c r="G71" s="136">
        <f t="shared" si="23"/>
        <v>200.60345000000001</v>
      </c>
      <c r="H71" s="144">
        <v>200.60345000000001</v>
      </c>
      <c r="I71" s="144"/>
      <c r="J71" s="136">
        <f t="shared" si="24"/>
        <v>149.99955</v>
      </c>
      <c r="K71" s="141">
        <f>59.34065+24.87388+65.78502</f>
        <v>149.99955</v>
      </c>
      <c r="L71" s="142"/>
      <c r="M71" s="132">
        <f t="shared" si="21"/>
        <v>99.999700000000004</v>
      </c>
      <c r="N71" s="13"/>
      <c r="O71" s="187" t="s">
        <v>844</v>
      </c>
      <c r="P71" s="175" t="s">
        <v>632</v>
      </c>
      <c r="Q71" s="191" t="s">
        <v>633</v>
      </c>
      <c r="R71" s="12"/>
    </row>
    <row r="72" spans="2:23" ht="51" x14ac:dyDescent="0.25">
      <c r="B72" s="14"/>
      <c r="C72" s="28" t="s">
        <v>634</v>
      </c>
      <c r="D72" s="136">
        <f t="shared" si="22"/>
        <v>100</v>
      </c>
      <c r="E72" s="144">
        <v>100</v>
      </c>
      <c r="F72" s="136"/>
      <c r="G72" s="136">
        <f t="shared" si="23"/>
        <v>299.39623999999998</v>
      </c>
      <c r="H72" s="144">
        <v>299.39623999999998</v>
      </c>
      <c r="I72" s="144"/>
      <c r="J72" s="136">
        <f t="shared" si="24"/>
        <v>84.432590000000005</v>
      </c>
      <c r="K72" s="141">
        <f>8.30636+2.77405+73.35218</f>
        <v>84.432590000000005</v>
      </c>
      <c r="L72" s="142"/>
      <c r="M72" s="132">
        <f t="shared" si="21"/>
        <v>84.432590000000005</v>
      </c>
      <c r="N72" s="13"/>
      <c r="O72" s="187"/>
      <c r="P72" s="175"/>
      <c r="Q72" s="192"/>
      <c r="R72" s="12"/>
    </row>
    <row r="73" spans="2:23" ht="114.75" x14ac:dyDescent="0.25">
      <c r="B73" s="14"/>
      <c r="C73" s="97" t="s">
        <v>58</v>
      </c>
      <c r="D73" s="136">
        <f t="shared" si="22"/>
        <v>20.728290000000001</v>
      </c>
      <c r="E73" s="144">
        <v>20.728290000000001</v>
      </c>
      <c r="F73" s="136"/>
      <c r="G73" s="136">
        <f t="shared" si="23"/>
        <v>20.728290000000001</v>
      </c>
      <c r="H73" s="144">
        <v>20.728290000000001</v>
      </c>
      <c r="I73" s="144"/>
      <c r="J73" s="136">
        <f t="shared" si="24"/>
        <v>16.914180000000002</v>
      </c>
      <c r="K73" s="141">
        <v>16.914180000000002</v>
      </c>
      <c r="L73" s="142"/>
      <c r="M73" s="132">
        <f t="shared" si="21"/>
        <v>81.599495182670637</v>
      </c>
      <c r="N73" s="13"/>
      <c r="O73" s="105" t="s">
        <v>901</v>
      </c>
      <c r="P73" s="22" t="s">
        <v>635</v>
      </c>
      <c r="Q73" s="34" t="s">
        <v>373</v>
      </c>
      <c r="R73" s="12"/>
    </row>
    <row r="74" spans="2:23" ht="56.25" customHeight="1" x14ac:dyDescent="0.25">
      <c r="B74" s="14"/>
      <c r="C74" s="28" t="s">
        <v>869</v>
      </c>
      <c r="D74" s="136">
        <f t="shared" si="22"/>
        <v>370</v>
      </c>
      <c r="E74" s="144">
        <v>170</v>
      </c>
      <c r="F74" s="136">
        <v>200</v>
      </c>
      <c r="G74" s="136">
        <f t="shared" si="23"/>
        <v>702.67000000000007</v>
      </c>
      <c r="H74" s="144">
        <v>302.67</v>
      </c>
      <c r="I74" s="144">
        <v>400</v>
      </c>
      <c r="J74" s="136">
        <f t="shared" si="24"/>
        <v>140.374</v>
      </c>
      <c r="K74" s="141">
        <v>140.374</v>
      </c>
      <c r="L74" s="142"/>
      <c r="M74" s="132">
        <f t="shared" si="21"/>
        <v>37.938918918918915</v>
      </c>
      <c r="N74" s="13">
        <v>50</v>
      </c>
      <c r="O74" s="187" t="s">
        <v>777</v>
      </c>
      <c r="P74" s="204" t="s">
        <v>637</v>
      </c>
      <c r="Q74" s="180" t="s">
        <v>46</v>
      </c>
      <c r="R74" s="12"/>
      <c r="S74" s="115"/>
    </row>
    <row r="75" spans="2:23" ht="76.5" x14ac:dyDescent="0.25">
      <c r="B75" s="14"/>
      <c r="C75" s="28" t="s">
        <v>636</v>
      </c>
      <c r="D75" s="136">
        <f t="shared" ref="D75:D81" si="25">E75+F75</f>
        <v>50</v>
      </c>
      <c r="E75" s="144">
        <v>50</v>
      </c>
      <c r="F75" s="136"/>
      <c r="G75" s="136">
        <f t="shared" ref="G75:G81" si="26">H75+I75</f>
        <v>111.13</v>
      </c>
      <c r="H75" s="144">
        <v>111.13</v>
      </c>
      <c r="I75" s="144"/>
      <c r="J75" s="136">
        <f t="shared" ref="J75:J81" si="27">K75+L75</f>
        <v>22.225999999999999</v>
      </c>
      <c r="K75" s="141">
        <v>22.225999999999999</v>
      </c>
      <c r="L75" s="142"/>
      <c r="M75" s="132">
        <f t="shared" ref="M75:M81" si="28">J75/D75%</f>
        <v>44.451999999999998</v>
      </c>
      <c r="N75" s="13">
        <v>50</v>
      </c>
      <c r="O75" s="187"/>
      <c r="P75" s="204"/>
      <c r="Q75" s="180"/>
      <c r="R75" s="12"/>
    </row>
    <row r="76" spans="2:23" ht="76.5" x14ac:dyDescent="0.25">
      <c r="B76" s="14"/>
      <c r="C76" s="28" t="s">
        <v>638</v>
      </c>
      <c r="D76" s="136">
        <f t="shared" si="25"/>
        <v>150</v>
      </c>
      <c r="E76" s="144">
        <v>150</v>
      </c>
      <c r="F76" s="136"/>
      <c r="G76" s="136">
        <f t="shared" si="26"/>
        <v>289.87597</v>
      </c>
      <c r="H76" s="144">
        <v>289.87597</v>
      </c>
      <c r="I76" s="144"/>
      <c r="J76" s="136">
        <f t="shared" si="27"/>
        <v>57.975180000000002</v>
      </c>
      <c r="K76" s="141">
        <v>57.975180000000002</v>
      </c>
      <c r="L76" s="142"/>
      <c r="M76" s="132">
        <f t="shared" si="28"/>
        <v>38.650120000000001</v>
      </c>
      <c r="N76" s="13">
        <v>15</v>
      </c>
      <c r="O76" s="105" t="s">
        <v>777</v>
      </c>
      <c r="P76" s="22" t="s">
        <v>639</v>
      </c>
      <c r="Q76" s="34" t="s">
        <v>431</v>
      </c>
      <c r="R76" s="12"/>
    </row>
    <row r="77" spans="2:23" ht="89.25" x14ac:dyDescent="0.25">
      <c r="B77" s="14"/>
      <c r="C77" s="28" t="s">
        <v>641</v>
      </c>
      <c r="D77" s="136">
        <f t="shared" si="25"/>
        <v>480</v>
      </c>
      <c r="E77" s="144">
        <v>480</v>
      </c>
      <c r="F77" s="136"/>
      <c r="G77" s="136">
        <f t="shared" si="26"/>
        <v>480</v>
      </c>
      <c r="H77" s="144">
        <v>480</v>
      </c>
      <c r="I77" s="144"/>
      <c r="J77" s="136">
        <f t="shared" si="27"/>
        <v>106.77511</v>
      </c>
      <c r="K77" s="141">
        <v>106.77511</v>
      </c>
      <c r="L77" s="142"/>
      <c r="M77" s="132">
        <f t="shared" si="28"/>
        <v>22.244814583333334</v>
      </c>
      <c r="N77" s="13">
        <v>70</v>
      </c>
      <c r="O77" s="105" t="s">
        <v>792</v>
      </c>
      <c r="P77" s="22" t="s">
        <v>642</v>
      </c>
      <c r="Q77" s="34" t="s">
        <v>633</v>
      </c>
      <c r="R77" s="12"/>
    </row>
    <row r="78" spans="2:23" ht="76.5" x14ac:dyDescent="0.25">
      <c r="B78" s="14"/>
      <c r="C78" s="28" t="s">
        <v>703</v>
      </c>
      <c r="D78" s="136">
        <f t="shared" ref="D78:D80" si="29">E78+F78</f>
        <v>300</v>
      </c>
      <c r="E78" s="144">
        <v>109.792</v>
      </c>
      <c r="F78" s="136">
        <v>190.208</v>
      </c>
      <c r="G78" s="136">
        <f t="shared" ref="G78:G80" si="30">H78+I78</f>
        <v>668.50810000000001</v>
      </c>
      <c r="H78" s="144">
        <v>378.30009999999999</v>
      </c>
      <c r="I78" s="144">
        <v>290.20800000000003</v>
      </c>
      <c r="J78" s="136">
        <f t="shared" ref="J78:J80" si="31">K78+L78</f>
        <v>139.18156999999999</v>
      </c>
      <c r="K78" s="141">
        <v>78.760069999999999</v>
      </c>
      <c r="L78" s="142">
        <v>60.421500000000002</v>
      </c>
      <c r="M78" s="132">
        <f t="shared" ref="M78:M80" si="32">J78/D78%</f>
        <v>46.393856666666665</v>
      </c>
      <c r="N78" s="13">
        <v>55</v>
      </c>
      <c r="O78" s="105" t="s">
        <v>792</v>
      </c>
      <c r="P78" s="22" t="s">
        <v>702</v>
      </c>
      <c r="Q78" s="34" t="s">
        <v>46</v>
      </c>
      <c r="R78" s="12"/>
      <c r="S78" s="115"/>
    </row>
    <row r="79" spans="2:23" ht="189.75" customHeight="1" x14ac:dyDescent="0.25">
      <c r="B79" s="14"/>
      <c r="C79" s="28" t="s">
        <v>873</v>
      </c>
      <c r="D79" s="136">
        <f t="shared" si="29"/>
        <v>14.537270000000001</v>
      </c>
      <c r="E79" s="144">
        <v>0.69508999999999999</v>
      </c>
      <c r="F79" s="136">
        <v>13.842180000000001</v>
      </c>
      <c r="G79" s="136">
        <f t="shared" si="30"/>
        <v>549.93081999999993</v>
      </c>
      <c r="H79" s="144">
        <v>27.49654</v>
      </c>
      <c r="I79" s="144">
        <v>522.43427999999994</v>
      </c>
      <c r="J79" s="136">
        <f t="shared" si="31"/>
        <v>4.3994499999999999</v>
      </c>
      <c r="K79" s="141"/>
      <c r="L79" s="142">
        <v>4.3994499999999999</v>
      </c>
      <c r="M79" s="132">
        <f t="shared" si="32"/>
        <v>30.263247501078258</v>
      </c>
      <c r="N79" s="13"/>
      <c r="O79" s="105" t="s">
        <v>902</v>
      </c>
      <c r="P79" s="22" t="s">
        <v>322</v>
      </c>
      <c r="Q79" s="34" t="s">
        <v>376</v>
      </c>
      <c r="R79" s="12" t="s">
        <v>779</v>
      </c>
      <c r="T79" s="115"/>
    </row>
    <row r="80" spans="2:23" ht="69" x14ac:dyDescent="0.25">
      <c r="B80" s="14"/>
      <c r="C80" s="39" t="s">
        <v>781</v>
      </c>
      <c r="D80" s="136">
        <f t="shared" si="29"/>
        <v>350</v>
      </c>
      <c r="E80" s="144">
        <v>350</v>
      </c>
      <c r="F80" s="136"/>
      <c r="G80" s="136">
        <f t="shared" si="30"/>
        <v>730.19799999999998</v>
      </c>
      <c r="H80" s="144">
        <v>730.19799999999998</v>
      </c>
      <c r="I80" s="144"/>
      <c r="J80" s="136">
        <f t="shared" si="31"/>
        <v>0</v>
      </c>
      <c r="K80" s="141"/>
      <c r="L80" s="142"/>
      <c r="M80" s="132">
        <f t="shared" si="32"/>
        <v>0</v>
      </c>
      <c r="N80" s="13"/>
      <c r="O80" s="97" t="s">
        <v>780</v>
      </c>
      <c r="P80" s="22" t="s">
        <v>708</v>
      </c>
      <c r="Q80" s="40" t="s">
        <v>490</v>
      </c>
      <c r="R80" s="12"/>
    </row>
    <row r="81" spans="2:23" ht="93.75" customHeight="1" x14ac:dyDescent="0.25">
      <c r="B81" s="14"/>
      <c r="C81" s="39" t="s">
        <v>782</v>
      </c>
      <c r="D81" s="136">
        <f t="shared" si="25"/>
        <v>72</v>
      </c>
      <c r="E81" s="144">
        <v>72</v>
      </c>
      <c r="F81" s="136"/>
      <c r="G81" s="136">
        <f t="shared" si="26"/>
        <v>356.35592000000003</v>
      </c>
      <c r="H81" s="144">
        <v>356.35592000000003</v>
      </c>
      <c r="I81" s="144"/>
      <c r="J81" s="136">
        <f t="shared" si="27"/>
        <v>0</v>
      </c>
      <c r="K81" s="141"/>
      <c r="L81" s="142"/>
      <c r="M81" s="132">
        <f t="shared" si="28"/>
        <v>0</v>
      </c>
      <c r="N81" s="13"/>
      <c r="O81" s="97" t="s">
        <v>783</v>
      </c>
      <c r="P81" s="22" t="s">
        <v>709</v>
      </c>
      <c r="Q81" s="40" t="s">
        <v>489</v>
      </c>
      <c r="R81" s="12"/>
    </row>
    <row r="82" spans="2:23" ht="12.75" x14ac:dyDescent="0.25">
      <c r="B82" s="14"/>
      <c r="C82" s="97" t="s">
        <v>59</v>
      </c>
      <c r="D82" s="136">
        <f t="shared" ref="D82:D87" si="33">E82+F82</f>
        <v>76.109679999999997</v>
      </c>
      <c r="E82" s="144"/>
      <c r="F82" s="136">
        <v>76.109679999999997</v>
      </c>
      <c r="G82" s="136">
        <f t="shared" ref="G82:G85" si="34">H82+I82</f>
        <v>0</v>
      </c>
      <c r="H82" s="144"/>
      <c r="I82" s="144"/>
      <c r="J82" s="136">
        <f t="shared" ref="J82:J85" si="35">K82+L82</f>
        <v>0</v>
      </c>
      <c r="K82" s="141"/>
      <c r="L82" s="142"/>
      <c r="M82" s="132">
        <f t="shared" ref="M82:M87" si="36">J82/D82%</f>
        <v>0</v>
      </c>
      <c r="N82" s="13"/>
      <c r="O82" s="97"/>
      <c r="P82" s="22"/>
      <c r="Q82" s="34"/>
      <c r="R82" s="12"/>
    </row>
    <row r="83" spans="2:23" ht="12.75" x14ac:dyDescent="0.25">
      <c r="B83" s="14"/>
      <c r="C83" s="93" t="s">
        <v>60</v>
      </c>
      <c r="D83" s="136">
        <f t="shared" si="33"/>
        <v>8.0647900000000003</v>
      </c>
      <c r="E83" s="144"/>
      <c r="F83" s="136">
        <v>8.0647900000000003</v>
      </c>
      <c r="G83" s="136">
        <f t="shared" si="34"/>
        <v>0</v>
      </c>
      <c r="H83" s="144"/>
      <c r="I83" s="144"/>
      <c r="J83" s="136">
        <f t="shared" si="35"/>
        <v>0</v>
      </c>
      <c r="K83" s="141"/>
      <c r="L83" s="142"/>
      <c r="M83" s="132">
        <f t="shared" si="36"/>
        <v>0</v>
      </c>
      <c r="N83" s="13"/>
      <c r="O83" s="97"/>
      <c r="P83" s="22"/>
      <c r="Q83" s="34"/>
      <c r="R83" s="12"/>
      <c r="S83" s="116"/>
      <c r="T83" s="116"/>
      <c r="U83" s="116"/>
      <c r="V83" s="116"/>
      <c r="W83" s="116"/>
    </row>
    <row r="84" spans="2:23" ht="12.75" x14ac:dyDescent="0.25">
      <c r="B84" s="14"/>
      <c r="C84" s="93" t="s">
        <v>61</v>
      </c>
      <c r="D84" s="136">
        <f t="shared" si="33"/>
        <v>1.14E-3</v>
      </c>
      <c r="E84" s="144"/>
      <c r="F84" s="136">
        <v>1.14E-3</v>
      </c>
      <c r="G84" s="136">
        <f t="shared" si="34"/>
        <v>0</v>
      </c>
      <c r="H84" s="144"/>
      <c r="I84" s="144"/>
      <c r="J84" s="136">
        <f t="shared" si="35"/>
        <v>0</v>
      </c>
      <c r="K84" s="141"/>
      <c r="L84" s="142"/>
      <c r="M84" s="132">
        <f t="shared" si="36"/>
        <v>0</v>
      </c>
      <c r="N84" s="13"/>
      <c r="O84" s="97"/>
      <c r="P84" s="22"/>
      <c r="Q84" s="34"/>
      <c r="R84" s="12"/>
    </row>
    <row r="85" spans="2:23" ht="12.75" x14ac:dyDescent="0.25">
      <c r="B85" s="14"/>
      <c r="C85" s="91" t="s">
        <v>870</v>
      </c>
      <c r="D85" s="136">
        <f t="shared" si="33"/>
        <v>8.1999999999999998E-4</v>
      </c>
      <c r="E85" s="144"/>
      <c r="F85" s="136">
        <v>8.1999999999999998E-4</v>
      </c>
      <c r="G85" s="136">
        <f t="shared" si="34"/>
        <v>0</v>
      </c>
      <c r="H85" s="144"/>
      <c r="I85" s="144"/>
      <c r="J85" s="136">
        <f t="shared" si="35"/>
        <v>0</v>
      </c>
      <c r="K85" s="141"/>
      <c r="L85" s="142"/>
      <c r="M85" s="132">
        <f t="shared" si="36"/>
        <v>0</v>
      </c>
      <c r="N85" s="13"/>
      <c r="O85" s="97"/>
      <c r="P85" s="22"/>
      <c r="Q85" s="34"/>
      <c r="R85" s="12"/>
    </row>
    <row r="86" spans="2:23" ht="12.75" x14ac:dyDescent="0.25">
      <c r="B86" s="14"/>
      <c r="C86" s="91" t="s">
        <v>871</v>
      </c>
      <c r="D86" s="136">
        <f t="shared" si="33"/>
        <v>31.832090000000001</v>
      </c>
      <c r="E86" s="140"/>
      <c r="F86" s="140">
        <v>31.832090000000001</v>
      </c>
      <c r="G86" s="136"/>
      <c r="H86" s="140"/>
      <c r="I86" s="140"/>
      <c r="J86" s="136"/>
      <c r="K86" s="141"/>
      <c r="L86" s="142"/>
      <c r="M86" s="132">
        <f t="shared" si="36"/>
        <v>0</v>
      </c>
      <c r="N86" s="13"/>
      <c r="O86" s="97"/>
      <c r="P86" s="22"/>
      <c r="Q86" s="34"/>
      <c r="R86" s="12"/>
    </row>
    <row r="87" spans="2:23" ht="12.75" x14ac:dyDescent="0.25">
      <c r="B87" s="14"/>
      <c r="C87" s="91" t="s">
        <v>872</v>
      </c>
      <c r="D87" s="136">
        <f t="shared" si="33"/>
        <v>119.33508999999999</v>
      </c>
      <c r="E87" s="140"/>
      <c r="F87" s="140">
        <v>119.33508999999999</v>
      </c>
      <c r="G87" s="136"/>
      <c r="H87" s="140"/>
      <c r="I87" s="140"/>
      <c r="J87" s="136"/>
      <c r="K87" s="141"/>
      <c r="L87" s="142"/>
      <c r="M87" s="132">
        <f t="shared" si="36"/>
        <v>0</v>
      </c>
      <c r="N87" s="13"/>
      <c r="O87" s="97"/>
      <c r="P87" s="22"/>
      <c r="Q87" s="34"/>
      <c r="R87" s="12"/>
    </row>
    <row r="88" spans="2:23" ht="12.75" x14ac:dyDescent="0.25">
      <c r="B88" s="14"/>
      <c r="C88" s="91"/>
      <c r="D88" s="136"/>
      <c r="E88" s="140">
        <v>274.02154999999999</v>
      </c>
      <c r="F88" s="140"/>
      <c r="G88" s="136"/>
      <c r="H88" s="140"/>
      <c r="I88" s="140"/>
      <c r="J88" s="136"/>
      <c r="K88" s="141"/>
      <c r="L88" s="142"/>
      <c r="M88" s="132"/>
      <c r="N88" s="122"/>
      <c r="O88" s="105"/>
      <c r="P88" s="123"/>
      <c r="Q88" s="34"/>
      <c r="R88" s="12"/>
    </row>
    <row r="89" spans="2:23" ht="12.6" customHeight="1" x14ac:dyDescent="0.25">
      <c r="B89" s="14"/>
      <c r="C89" s="4" t="s">
        <v>19</v>
      </c>
      <c r="D89" s="136">
        <f t="shared" si="15"/>
        <v>11710.965830000001</v>
      </c>
      <c r="E89" s="136">
        <f>SUM(E27:E88)</f>
        <v>5403.0042100000019</v>
      </c>
      <c r="F89" s="136">
        <f>SUM(F27:F87)</f>
        <v>6307.96162</v>
      </c>
      <c r="G89" s="136">
        <f t="shared" si="16"/>
        <v>17622.65307</v>
      </c>
      <c r="H89" s="136">
        <f>SUM(H27:H87)</f>
        <v>8607.6703899999993</v>
      </c>
      <c r="I89" s="136">
        <f>SUM(I27:I87)</f>
        <v>9014.982680000001</v>
      </c>
      <c r="J89" s="136">
        <f t="shared" si="17"/>
        <v>6654.1192199999996</v>
      </c>
      <c r="K89" s="136">
        <f>SUM(K27:K82)</f>
        <v>2681.8292899999997</v>
      </c>
      <c r="L89" s="136">
        <f>SUM(L27:L82)</f>
        <v>3972.2899299999999</v>
      </c>
      <c r="M89" s="132">
        <f t="shared" si="9"/>
        <v>56.819559689552946</v>
      </c>
      <c r="N89" s="13"/>
      <c r="O89" s="14"/>
      <c r="P89" s="22"/>
      <c r="Q89" s="23"/>
      <c r="R89" s="12"/>
    </row>
    <row r="90" spans="2:23" ht="38.25" x14ac:dyDescent="0.25">
      <c r="B90" s="14" t="s">
        <v>62</v>
      </c>
      <c r="C90" s="4" t="s">
        <v>63</v>
      </c>
      <c r="D90" s="136"/>
      <c r="E90" s="136"/>
      <c r="F90" s="136"/>
      <c r="G90" s="136"/>
      <c r="H90" s="136"/>
      <c r="I90" s="136"/>
      <c r="J90" s="136"/>
      <c r="K90" s="136"/>
      <c r="L90" s="136"/>
      <c r="M90" s="132"/>
      <c r="N90" s="13"/>
      <c r="O90" s="14"/>
      <c r="P90" s="22"/>
      <c r="Q90" s="23"/>
      <c r="R90" s="12"/>
    </row>
    <row r="91" spans="2:23" ht="123.75" customHeight="1" x14ac:dyDescent="0.25">
      <c r="B91" s="14"/>
      <c r="C91" s="28" t="s">
        <v>64</v>
      </c>
      <c r="D91" s="136">
        <f t="shared" si="15"/>
        <v>1.208</v>
      </c>
      <c r="E91" s="145">
        <v>1.208</v>
      </c>
      <c r="F91" s="136"/>
      <c r="G91" s="136">
        <f t="shared" si="16"/>
        <v>1.208</v>
      </c>
      <c r="H91" s="145">
        <v>1.208</v>
      </c>
      <c r="I91" s="136"/>
      <c r="J91" s="136">
        <f t="shared" si="17"/>
        <v>1.208</v>
      </c>
      <c r="K91" s="136">
        <v>1.208</v>
      </c>
      <c r="L91" s="136"/>
      <c r="M91" s="132">
        <f t="shared" ref="M91:M170" si="37">J91/D91%</f>
        <v>100</v>
      </c>
      <c r="N91" s="13"/>
      <c r="O91" s="14" t="s">
        <v>65</v>
      </c>
      <c r="P91" s="22">
        <v>16</v>
      </c>
      <c r="Q91" s="93" t="s">
        <v>66</v>
      </c>
      <c r="R91" s="26"/>
    </row>
    <row r="92" spans="2:23" ht="106.5" customHeight="1" x14ac:dyDescent="0.25">
      <c r="B92" s="14"/>
      <c r="C92" s="93" t="s">
        <v>570</v>
      </c>
      <c r="D92" s="136">
        <f t="shared" si="15"/>
        <v>3.7488000000000001</v>
      </c>
      <c r="E92" s="136">
        <v>3.7488000000000001</v>
      </c>
      <c r="F92" s="136"/>
      <c r="G92" s="136">
        <f t="shared" si="16"/>
        <v>3.7480000000000002</v>
      </c>
      <c r="H92" s="136">
        <v>3.7480000000000002</v>
      </c>
      <c r="I92" s="136"/>
      <c r="J92" s="136">
        <f t="shared" si="17"/>
        <v>2.8116000000000003</v>
      </c>
      <c r="K92" s="136">
        <f>0.9372+1.8744</f>
        <v>2.8116000000000003</v>
      </c>
      <c r="L92" s="136"/>
      <c r="M92" s="132">
        <f t="shared" si="37"/>
        <v>75.000000000000014</v>
      </c>
      <c r="N92" s="13"/>
      <c r="O92" s="14" t="s">
        <v>67</v>
      </c>
      <c r="P92" s="22" t="s">
        <v>68</v>
      </c>
      <c r="Q92" s="93" t="s">
        <v>69</v>
      </c>
      <c r="R92" s="12"/>
    </row>
    <row r="93" spans="2:23" ht="35.25" customHeight="1" x14ac:dyDescent="0.25">
      <c r="B93" s="14"/>
      <c r="C93" s="124" t="s">
        <v>784</v>
      </c>
      <c r="D93" s="136">
        <f t="shared" si="15"/>
        <v>15</v>
      </c>
      <c r="E93" s="136">
        <v>15</v>
      </c>
      <c r="F93" s="136"/>
      <c r="G93" s="136">
        <f t="shared" si="16"/>
        <v>0</v>
      </c>
      <c r="H93" s="136"/>
      <c r="I93" s="136"/>
      <c r="J93" s="136">
        <f t="shared" si="17"/>
        <v>0</v>
      </c>
      <c r="K93" s="136"/>
      <c r="L93" s="136"/>
      <c r="M93" s="132">
        <f t="shared" si="37"/>
        <v>0</v>
      </c>
      <c r="N93" s="13"/>
      <c r="O93" s="14"/>
      <c r="P93" s="22"/>
      <c r="Q93" s="93"/>
      <c r="R93" s="12"/>
    </row>
    <row r="94" spans="2:23" ht="12.75" x14ac:dyDescent="0.25">
      <c r="B94" s="14"/>
      <c r="C94" s="45" t="s">
        <v>19</v>
      </c>
      <c r="D94" s="136">
        <f t="shared" si="15"/>
        <v>19.956800000000001</v>
      </c>
      <c r="E94" s="136">
        <f>SUM(E91:E93)</f>
        <v>19.956800000000001</v>
      </c>
      <c r="F94" s="136">
        <f>SUM(F91:F93)</f>
        <v>0</v>
      </c>
      <c r="G94" s="136">
        <f t="shared" si="16"/>
        <v>4.9560000000000004</v>
      </c>
      <c r="H94" s="136">
        <f>SUM(H91:H93)</f>
        <v>4.9560000000000004</v>
      </c>
      <c r="I94" s="136">
        <f>SUM(I91:I93)</f>
        <v>0</v>
      </c>
      <c r="J94" s="136">
        <f t="shared" si="17"/>
        <v>4.0196000000000005</v>
      </c>
      <c r="K94" s="136">
        <f>SUM(K91:K93)</f>
        <v>4.0196000000000005</v>
      </c>
      <c r="L94" s="136">
        <f>SUM(L91:L93)</f>
        <v>0</v>
      </c>
      <c r="M94" s="132">
        <f t="shared" si="37"/>
        <v>20.141505652208771</v>
      </c>
      <c r="N94" s="13"/>
      <c r="O94" s="14"/>
      <c r="P94" s="22"/>
      <c r="Q94" s="101"/>
      <c r="R94" s="26"/>
    </row>
    <row r="95" spans="2:23" ht="12.75" x14ac:dyDescent="0.25">
      <c r="B95" s="14"/>
      <c r="C95" s="45"/>
      <c r="D95" s="136"/>
      <c r="E95" s="136"/>
      <c r="F95" s="136"/>
      <c r="G95" s="136"/>
      <c r="H95" s="136"/>
      <c r="I95" s="136"/>
      <c r="J95" s="136"/>
      <c r="K95" s="136"/>
      <c r="L95" s="136"/>
      <c r="M95" s="132"/>
      <c r="N95" s="13"/>
      <c r="O95" s="14"/>
      <c r="P95" s="22"/>
      <c r="Q95" s="101"/>
      <c r="R95" s="26"/>
    </row>
    <row r="96" spans="2:23" ht="12.75" x14ac:dyDescent="0.25">
      <c r="B96" s="14"/>
      <c r="C96" s="45"/>
      <c r="D96" s="136"/>
      <c r="E96" s="136"/>
      <c r="F96" s="136"/>
      <c r="G96" s="136"/>
      <c r="H96" s="136"/>
      <c r="I96" s="136"/>
      <c r="J96" s="136"/>
      <c r="K96" s="136"/>
      <c r="L96" s="136"/>
      <c r="M96" s="132"/>
      <c r="N96" s="13"/>
      <c r="O96" s="14"/>
      <c r="P96" s="22"/>
      <c r="Q96" s="101"/>
      <c r="R96" s="12"/>
    </row>
    <row r="97" spans="2:18" ht="38.25" x14ac:dyDescent="0.25">
      <c r="B97" s="17" t="s">
        <v>70</v>
      </c>
      <c r="C97" s="9" t="s">
        <v>71</v>
      </c>
      <c r="D97" s="136"/>
      <c r="E97" s="135"/>
      <c r="F97" s="135"/>
      <c r="G97" s="136"/>
      <c r="H97" s="135"/>
      <c r="I97" s="135"/>
      <c r="J97" s="136"/>
      <c r="K97" s="135"/>
      <c r="L97" s="135"/>
      <c r="M97" s="132"/>
      <c r="N97" s="13"/>
      <c r="O97" s="10"/>
      <c r="P97" s="11"/>
      <c r="Q97" s="10"/>
      <c r="R97" s="12"/>
    </row>
    <row r="98" spans="2:18" ht="89.25" x14ac:dyDescent="0.25">
      <c r="B98" s="14" t="s">
        <v>72</v>
      </c>
      <c r="C98" s="28" t="s">
        <v>73</v>
      </c>
      <c r="D98" s="136">
        <f t="shared" si="15"/>
        <v>364.67230000000001</v>
      </c>
      <c r="E98" s="140">
        <v>364.67230000000001</v>
      </c>
      <c r="F98" s="140"/>
      <c r="G98" s="136">
        <f t="shared" si="16"/>
        <v>322.37652000000003</v>
      </c>
      <c r="H98" s="140">
        <v>322.37652000000003</v>
      </c>
      <c r="I98" s="140"/>
      <c r="J98" s="136">
        <f t="shared" si="17"/>
        <v>294.65366999999998</v>
      </c>
      <c r="K98" s="140">
        <f>27.90367+92.37652+27.73787+28.60424+31.93732+39.27048+46.82357</f>
        <v>294.65366999999998</v>
      </c>
      <c r="L98" s="140"/>
      <c r="M98" s="132">
        <f t="shared" si="37"/>
        <v>80.799575399612195</v>
      </c>
      <c r="N98" s="13"/>
      <c r="O98" s="46"/>
      <c r="P98" s="47" t="s">
        <v>74</v>
      </c>
      <c r="Q98" s="34" t="s">
        <v>75</v>
      </c>
      <c r="R98" s="26"/>
    </row>
    <row r="99" spans="2:18" ht="84.75" customHeight="1" x14ac:dyDescent="0.25">
      <c r="B99" s="14"/>
      <c r="C99" s="28" t="s">
        <v>76</v>
      </c>
      <c r="D99" s="136">
        <f t="shared" si="15"/>
        <v>0.5</v>
      </c>
      <c r="E99" s="136">
        <v>0.5</v>
      </c>
      <c r="F99" s="140"/>
      <c r="G99" s="136">
        <f t="shared" si="16"/>
        <v>0.5</v>
      </c>
      <c r="H99" s="140">
        <v>0.5</v>
      </c>
      <c r="I99" s="140"/>
      <c r="J99" s="136">
        <f t="shared" si="17"/>
        <v>0.5</v>
      </c>
      <c r="K99" s="140">
        <v>0.5</v>
      </c>
      <c r="L99" s="140"/>
      <c r="M99" s="132">
        <f t="shared" si="37"/>
        <v>100</v>
      </c>
      <c r="N99" s="13"/>
      <c r="O99" s="46" t="s">
        <v>77</v>
      </c>
      <c r="P99" s="100" t="s">
        <v>78</v>
      </c>
      <c r="Q99" s="34" t="s">
        <v>79</v>
      </c>
      <c r="R99" s="26"/>
    </row>
    <row r="100" spans="2:18" ht="87.75" customHeight="1" x14ac:dyDescent="0.25">
      <c r="B100" s="14"/>
      <c r="C100" s="28" t="s">
        <v>80</v>
      </c>
      <c r="D100" s="136">
        <f t="shared" si="15"/>
        <v>0.56999999999999995</v>
      </c>
      <c r="E100" s="143">
        <v>0.56999999999999995</v>
      </c>
      <c r="F100" s="136"/>
      <c r="G100" s="136">
        <f t="shared" si="16"/>
        <v>0.56999999999999995</v>
      </c>
      <c r="H100" s="143">
        <v>0.56999999999999995</v>
      </c>
      <c r="I100" s="146"/>
      <c r="J100" s="136">
        <f t="shared" si="17"/>
        <v>0.56999999999999995</v>
      </c>
      <c r="K100" s="136">
        <v>0.56999999999999995</v>
      </c>
      <c r="L100" s="136"/>
      <c r="M100" s="132">
        <f t="shared" si="37"/>
        <v>100</v>
      </c>
      <c r="N100" s="13"/>
      <c r="O100" s="48" t="s">
        <v>81</v>
      </c>
      <c r="P100" s="100" t="s">
        <v>82</v>
      </c>
      <c r="Q100" s="34" t="s">
        <v>79</v>
      </c>
      <c r="R100" s="26"/>
    </row>
    <row r="101" spans="2:18" ht="40.5" customHeight="1" x14ac:dyDescent="0.25">
      <c r="B101" s="14"/>
      <c r="C101" s="100" t="s">
        <v>83</v>
      </c>
      <c r="D101" s="136">
        <f t="shared" si="15"/>
        <v>0.71140000000000003</v>
      </c>
      <c r="E101" s="139">
        <v>0.71140000000000003</v>
      </c>
      <c r="F101" s="140"/>
      <c r="G101" s="136">
        <f t="shared" si="16"/>
        <v>0.71140000000000003</v>
      </c>
      <c r="H101" s="139">
        <v>0.71140000000000003</v>
      </c>
      <c r="I101" s="140"/>
      <c r="J101" s="136">
        <f t="shared" si="17"/>
        <v>0.71140000000000003</v>
      </c>
      <c r="K101" s="140">
        <v>0.71140000000000003</v>
      </c>
      <c r="L101" s="140"/>
      <c r="M101" s="132">
        <f t="shared" si="37"/>
        <v>100</v>
      </c>
      <c r="N101" s="13"/>
      <c r="O101" s="46" t="s">
        <v>515</v>
      </c>
      <c r="P101" s="100" t="s">
        <v>84</v>
      </c>
      <c r="Q101" s="96" t="s">
        <v>85</v>
      </c>
      <c r="R101" s="26"/>
    </row>
    <row r="102" spans="2:18" ht="95.25" customHeight="1" x14ac:dyDescent="0.25">
      <c r="B102" s="14"/>
      <c r="C102" s="49" t="s">
        <v>379</v>
      </c>
      <c r="D102" s="136">
        <f t="shared" si="15"/>
        <v>1.25</v>
      </c>
      <c r="E102" s="139">
        <v>1.25</v>
      </c>
      <c r="F102" s="139"/>
      <c r="G102" s="136">
        <f t="shared" si="16"/>
        <v>1.25</v>
      </c>
      <c r="H102" s="139">
        <v>1.25</v>
      </c>
      <c r="I102" s="140"/>
      <c r="J102" s="136">
        <f t="shared" si="17"/>
        <v>1.25</v>
      </c>
      <c r="K102" s="140">
        <v>1.25</v>
      </c>
      <c r="L102" s="140"/>
      <c r="M102" s="132">
        <f t="shared" ref="M102:M103" si="38">J102/D102%</f>
        <v>100</v>
      </c>
      <c r="N102" s="13"/>
      <c r="O102" s="98" t="s">
        <v>516</v>
      </c>
      <c r="P102" s="95" t="s">
        <v>381</v>
      </c>
      <c r="Q102" s="25" t="s">
        <v>380</v>
      </c>
      <c r="R102" s="26"/>
    </row>
    <row r="103" spans="2:18" ht="75" customHeight="1" x14ac:dyDescent="0.25">
      <c r="B103" s="14"/>
      <c r="C103" s="25" t="s">
        <v>403</v>
      </c>
      <c r="D103" s="136">
        <f t="shared" si="15"/>
        <v>1.75</v>
      </c>
      <c r="E103" s="139">
        <v>1.75</v>
      </c>
      <c r="F103" s="139"/>
      <c r="G103" s="136">
        <f t="shared" si="16"/>
        <v>1.75</v>
      </c>
      <c r="H103" s="139">
        <v>1.75</v>
      </c>
      <c r="I103" s="140"/>
      <c r="J103" s="136">
        <f t="shared" si="17"/>
        <v>1.75</v>
      </c>
      <c r="K103" s="140">
        <v>1.75</v>
      </c>
      <c r="L103" s="140"/>
      <c r="M103" s="132">
        <f t="shared" si="38"/>
        <v>99.999999999999986</v>
      </c>
      <c r="N103" s="13"/>
      <c r="O103" s="98" t="s">
        <v>517</v>
      </c>
      <c r="P103" s="95" t="s">
        <v>404</v>
      </c>
      <c r="Q103" s="25" t="s">
        <v>380</v>
      </c>
      <c r="R103" s="26"/>
    </row>
    <row r="104" spans="2:18" ht="102" x14ac:dyDescent="0.25">
      <c r="B104" s="14"/>
      <c r="C104" s="96" t="s">
        <v>86</v>
      </c>
      <c r="D104" s="136">
        <f t="shared" si="15"/>
        <v>0.8</v>
      </c>
      <c r="E104" s="139">
        <v>0.8</v>
      </c>
      <c r="F104" s="140"/>
      <c r="G104" s="136">
        <f t="shared" si="16"/>
        <v>0.6</v>
      </c>
      <c r="H104" s="139">
        <v>0.6</v>
      </c>
      <c r="I104" s="140"/>
      <c r="J104" s="136">
        <f t="shared" si="17"/>
        <v>0.8</v>
      </c>
      <c r="K104" s="140">
        <v>0.8</v>
      </c>
      <c r="L104" s="140"/>
      <c r="M104" s="132">
        <f t="shared" si="37"/>
        <v>100</v>
      </c>
      <c r="N104" s="13"/>
      <c r="O104" s="46"/>
      <c r="P104" s="100" t="s">
        <v>87</v>
      </c>
      <c r="Q104" s="96" t="s">
        <v>88</v>
      </c>
      <c r="R104" s="12"/>
    </row>
    <row r="105" spans="2:18" ht="128.25" customHeight="1" x14ac:dyDescent="0.25">
      <c r="B105" s="14"/>
      <c r="C105" s="100" t="s">
        <v>89</v>
      </c>
      <c r="D105" s="136">
        <f t="shared" si="15"/>
        <v>0.2</v>
      </c>
      <c r="E105" s="140">
        <v>0.2</v>
      </c>
      <c r="F105" s="139"/>
      <c r="G105" s="136">
        <f t="shared" si="16"/>
        <v>0.2</v>
      </c>
      <c r="H105" s="147">
        <v>0.2</v>
      </c>
      <c r="I105" s="140"/>
      <c r="J105" s="136">
        <f t="shared" si="17"/>
        <v>0.2</v>
      </c>
      <c r="K105" s="140">
        <v>0.2</v>
      </c>
      <c r="L105" s="140"/>
      <c r="M105" s="132">
        <f t="shared" si="37"/>
        <v>100</v>
      </c>
      <c r="N105" s="13"/>
      <c r="O105" s="46"/>
      <c r="P105" s="100" t="s">
        <v>90</v>
      </c>
      <c r="Q105" s="96" t="s">
        <v>88</v>
      </c>
      <c r="R105" s="12"/>
    </row>
    <row r="106" spans="2:18" ht="60" customHeight="1" x14ac:dyDescent="0.25">
      <c r="B106" s="14"/>
      <c r="C106" s="128" t="s">
        <v>903</v>
      </c>
      <c r="D106" s="136">
        <f t="shared" si="15"/>
        <v>74.540790000000001</v>
      </c>
      <c r="E106" s="139">
        <v>74.540790000000001</v>
      </c>
      <c r="F106" s="140"/>
      <c r="G106" s="136">
        <f t="shared" si="16"/>
        <v>74.540790000000001</v>
      </c>
      <c r="H106" s="139">
        <v>74.540790000000001</v>
      </c>
      <c r="I106" s="140"/>
      <c r="J106" s="136">
        <f t="shared" si="17"/>
        <v>74.540790000000001</v>
      </c>
      <c r="K106" s="140">
        <v>74.540790000000001</v>
      </c>
      <c r="L106" s="140"/>
      <c r="M106" s="132">
        <f t="shared" si="37"/>
        <v>100</v>
      </c>
      <c r="N106" s="13"/>
      <c r="O106" s="46" t="s">
        <v>91</v>
      </c>
      <c r="P106" s="108">
        <v>115</v>
      </c>
      <c r="Q106" s="96" t="s">
        <v>92</v>
      </c>
      <c r="R106" s="12"/>
    </row>
    <row r="107" spans="2:18" ht="130.5" customHeight="1" x14ac:dyDescent="0.25">
      <c r="B107" s="14"/>
      <c r="C107" s="28" t="s">
        <v>93</v>
      </c>
      <c r="D107" s="136">
        <f t="shared" si="15"/>
        <v>7.7575000000000003</v>
      </c>
      <c r="E107" s="139">
        <v>7.7575000000000003</v>
      </c>
      <c r="F107" s="140"/>
      <c r="G107" s="136">
        <f t="shared" si="16"/>
        <v>7.7575000000000003</v>
      </c>
      <c r="H107" s="139">
        <v>7.7575000000000003</v>
      </c>
      <c r="I107" s="140"/>
      <c r="J107" s="136">
        <f t="shared" si="17"/>
        <v>7.7575000000000003</v>
      </c>
      <c r="K107" s="140">
        <v>7.7575000000000003</v>
      </c>
      <c r="L107" s="140"/>
      <c r="M107" s="132">
        <f t="shared" si="37"/>
        <v>100</v>
      </c>
      <c r="N107" s="13"/>
      <c r="O107" s="186" t="s">
        <v>94</v>
      </c>
      <c r="P107" s="199" t="s">
        <v>95</v>
      </c>
      <c r="Q107" s="180" t="s">
        <v>96</v>
      </c>
      <c r="R107" s="12"/>
    </row>
    <row r="108" spans="2:18" ht="117.75" customHeight="1" x14ac:dyDescent="0.25">
      <c r="B108" s="14"/>
      <c r="C108" s="25" t="s">
        <v>378</v>
      </c>
      <c r="D108" s="136">
        <f t="shared" si="15"/>
        <v>46.980350000000001</v>
      </c>
      <c r="E108" s="140">
        <v>46.980350000000001</v>
      </c>
      <c r="F108" s="140"/>
      <c r="G108" s="136">
        <f t="shared" si="16"/>
        <v>46.980350000000001</v>
      </c>
      <c r="H108" s="139">
        <v>46.980350000000001</v>
      </c>
      <c r="I108" s="140"/>
      <c r="J108" s="136">
        <f t="shared" si="17"/>
        <v>46.980350000000001</v>
      </c>
      <c r="K108" s="140">
        <v>46.980350000000001</v>
      </c>
      <c r="L108" s="140"/>
      <c r="M108" s="132">
        <f t="shared" si="37"/>
        <v>100</v>
      </c>
      <c r="N108" s="13"/>
      <c r="O108" s="186"/>
      <c r="P108" s="199"/>
      <c r="Q108" s="180"/>
      <c r="R108" s="12"/>
    </row>
    <row r="109" spans="2:18" ht="153" customHeight="1" x14ac:dyDescent="0.25">
      <c r="B109" s="14"/>
      <c r="C109" s="99" t="s">
        <v>97</v>
      </c>
      <c r="D109" s="136">
        <f t="shared" si="15"/>
        <v>5.9171500000000004</v>
      </c>
      <c r="E109" s="143">
        <v>5.9171500000000004</v>
      </c>
      <c r="F109" s="136"/>
      <c r="G109" s="136">
        <f t="shared" si="16"/>
        <v>5.9171500000000004</v>
      </c>
      <c r="H109" s="143">
        <v>5.9171500000000004</v>
      </c>
      <c r="I109" s="146"/>
      <c r="J109" s="136">
        <f t="shared" si="17"/>
        <v>5.9171500000000004</v>
      </c>
      <c r="K109" s="136">
        <v>5.9171500000000004</v>
      </c>
      <c r="L109" s="136"/>
      <c r="M109" s="132">
        <f t="shared" si="37"/>
        <v>100</v>
      </c>
      <c r="N109" s="13"/>
      <c r="O109" s="48" t="s">
        <v>719</v>
      </c>
      <c r="P109" s="47" t="s">
        <v>98</v>
      </c>
      <c r="Q109" s="34" t="s">
        <v>99</v>
      </c>
      <c r="R109" s="12"/>
    </row>
    <row r="110" spans="2:18" ht="175.5" customHeight="1" x14ac:dyDescent="0.25">
      <c r="B110" s="14"/>
      <c r="C110" s="28" t="s">
        <v>571</v>
      </c>
      <c r="D110" s="136">
        <f t="shared" si="15"/>
        <v>315.94046999999995</v>
      </c>
      <c r="E110" s="136">
        <v>21.0977</v>
      </c>
      <c r="F110" s="136">
        <f>69.14271+225.70006</f>
        <v>294.84276999999997</v>
      </c>
      <c r="G110" s="136">
        <f t="shared" si="16"/>
        <v>1300.7370100000001</v>
      </c>
      <c r="H110" s="139">
        <v>70.036950000000004</v>
      </c>
      <c r="I110" s="140">
        <v>1230.7000600000001</v>
      </c>
      <c r="J110" s="136">
        <f t="shared" si="17"/>
        <v>99.46172</v>
      </c>
      <c r="K110" s="136">
        <f>0.8838+2.26685+1.82235</f>
        <v>4.9729999999999999</v>
      </c>
      <c r="L110" s="136">
        <f>16.7932+43.07091+34.62461</f>
        <v>94.488720000000001</v>
      </c>
      <c r="M110" s="132">
        <f t="shared" si="37"/>
        <v>31.48115846000989</v>
      </c>
      <c r="N110" s="13">
        <v>100</v>
      </c>
      <c r="O110" s="101" t="s">
        <v>100</v>
      </c>
      <c r="P110" s="100" t="s">
        <v>101</v>
      </c>
      <c r="Q110" s="34" t="s">
        <v>102</v>
      </c>
      <c r="R110" s="12" t="s">
        <v>103</v>
      </c>
    </row>
    <row r="111" spans="2:18" ht="190.5" customHeight="1" x14ac:dyDescent="0.25">
      <c r="B111" s="14"/>
      <c r="C111" s="99" t="s">
        <v>104</v>
      </c>
      <c r="D111" s="136">
        <f t="shared" si="15"/>
        <v>193</v>
      </c>
      <c r="E111" s="143">
        <v>193</v>
      </c>
      <c r="F111" s="143"/>
      <c r="G111" s="136">
        <f t="shared" si="16"/>
        <v>193</v>
      </c>
      <c r="H111" s="143">
        <v>193</v>
      </c>
      <c r="I111" s="143"/>
      <c r="J111" s="136">
        <f t="shared" si="17"/>
        <v>192.32828000000003</v>
      </c>
      <c r="K111" s="136">
        <f>24.32193+42.98042+49.9714+71.3018+3.75273</f>
        <v>192.32828000000003</v>
      </c>
      <c r="L111" s="136"/>
      <c r="M111" s="132">
        <f t="shared" si="37"/>
        <v>99.651958549222826</v>
      </c>
      <c r="N111" s="13"/>
      <c r="O111" s="48" t="s">
        <v>468</v>
      </c>
      <c r="P111" s="100" t="s">
        <v>105</v>
      </c>
      <c r="Q111" s="34" t="s">
        <v>106</v>
      </c>
      <c r="R111" s="12"/>
    </row>
    <row r="112" spans="2:18" ht="171.75" customHeight="1" x14ac:dyDescent="0.25">
      <c r="B112" s="14"/>
      <c r="C112" s="45" t="s">
        <v>107</v>
      </c>
      <c r="D112" s="136">
        <f t="shared" si="15"/>
        <v>57.777000000000001</v>
      </c>
      <c r="E112" s="148">
        <v>57.777000000000001</v>
      </c>
      <c r="F112" s="148"/>
      <c r="G112" s="136">
        <f t="shared" si="16"/>
        <v>57.777000000000001</v>
      </c>
      <c r="H112" s="148">
        <v>57.777000000000001</v>
      </c>
      <c r="I112" s="148"/>
      <c r="J112" s="136">
        <f t="shared" si="17"/>
        <v>0</v>
      </c>
      <c r="K112" s="136"/>
      <c r="L112" s="136"/>
      <c r="M112" s="132">
        <f t="shared" si="37"/>
        <v>0</v>
      </c>
      <c r="N112" s="13"/>
      <c r="O112" s="46" t="s">
        <v>450</v>
      </c>
      <c r="P112" s="100" t="s">
        <v>109</v>
      </c>
      <c r="Q112" s="99" t="s">
        <v>110</v>
      </c>
      <c r="R112" s="50"/>
    </row>
    <row r="113" spans="2:23" ht="87.75" customHeight="1" x14ac:dyDescent="0.25">
      <c r="B113" s="14"/>
      <c r="C113" s="97" t="s">
        <v>58</v>
      </c>
      <c r="D113" s="136">
        <f t="shared" si="15"/>
        <v>30</v>
      </c>
      <c r="E113" s="143">
        <v>30</v>
      </c>
      <c r="F113" s="143"/>
      <c r="G113" s="136">
        <f t="shared" si="16"/>
        <v>30</v>
      </c>
      <c r="H113" s="143">
        <v>30</v>
      </c>
      <c r="I113" s="146"/>
      <c r="J113" s="136">
        <f t="shared" si="17"/>
        <v>0</v>
      </c>
      <c r="K113" s="140"/>
      <c r="L113" s="140"/>
      <c r="M113" s="132">
        <f t="shared" si="37"/>
        <v>0</v>
      </c>
      <c r="N113" s="13"/>
      <c r="O113" s="14" t="s">
        <v>111</v>
      </c>
      <c r="P113" s="95">
        <v>17</v>
      </c>
      <c r="Q113" s="99" t="s">
        <v>817</v>
      </c>
      <c r="R113" s="50"/>
    </row>
    <row r="114" spans="2:23" ht="72.75" customHeight="1" x14ac:dyDescent="0.25">
      <c r="B114" s="14"/>
      <c r="C114" s="110" t="s">
        <v>904</v>
      </c>
      <c r="D114" s="136">
        <f t="shared" si="15"/>
        <v>70.605000000000004</v>
      </c>
      <c r="E114" s="140">
        <v>70.605000000000004</v>
      </c>
      <c r="F114" s="149"/>
      <c r="G114" s="136">
        <f t="shared" si="16"/>
        <v>70.605000000000004</v>
      </c>
      <c r="H114" s="140">
        <v>70.605000000000004</v>
      </c>
      <c r="I114" s="149"/>
      <c r="J114" s="136">
        <f t="shared" si="17"/>
        <v>70.60499999999999</v>
      </c>
      <c r="K114" s="140">
        <f>35.303+35.302</f>
        <v>70.60499999999999</v>
      </c>
      <c r="L114" s="149"/>
      <c r="M114" s="132">
        <f t="shared" si="37"/>
        <v>99.999999999999972</v>
      </c>
      <c r="N114" s="13"/>
      <c r="O114" s="46" t="s">
        <v>451</v>
      </c>
      <c r="P114" s="100" t="s">
        <v>112</v>
      </c>
      <c r="Q114" s="99" t="s">
        <v>113</v>
      </c>
      <c r="R114" s="50"/>
    </row>
    <row r="115" spans="2:23" ht="162" customHeight="1" x14ac:dyDescent="0.25">
      <c r="B115" s="14"/>
      <c r="C115" s="45" t="s">
        <v>107</v>
      </c>
      <c r="D115" s="136">
        <f t="shared" ref="D115:D192" si="39">E115+F115</f>
        <v>11.790369999999999</v>
      </c>
      <c r="E115" s="140">
        <v>11.790369999999999</v>
      </c>
      <c r="F115" s="140"/>
      <c r="G115" s="136">
        <f t="shared" ref="G115:G192" si="40">H115+I115</f>
        <v>11.790369999999999</v>
      </c>
      <c r="H115" s="140">
        <v>11.790369999999999</v>
      </c>
      <c r="I115" s="140"/>
      <c r="J115" s="136">
        <f t="shared" ref="J115:J192" si="41">K115+L115</f>
        <v>0</v>
      </c>
      <c r="K115" s="141"/>
      <c r="L115" s="142"/>
      <c r="M115" s="132">
        <f t="shared" si="37"/>
        <v>0</v>
      </c>
      <c r="N115" s="13"/>
      <c r="O115" s="97" t="s">
        <v>493</v>
      </c>
      <c r="P115" s="22" t="s">
        <v>386</v>
      </c>
      <c r="Q115" s="40" t="s">
        <v>389</v>
      </c>
      <c r="R115" s="12"/>
    </row>
    <row r="116" spans="2:23" ht="114.75" x14ac:dyDescent="0.25">
      <c r="B116" s="14"/>
      <c r="C116" s="25" t="s">
        <v>568</v>
      </c>
      <c r="D116" s="136">
        <f t="shared" si="39"/>
        <v>146.19487000000001</v>
      </c>
      <c r="E116" s="140">
        <v>146.19487000000001</v>
      </c>
      <c r="F116" s="139"/>
      <c r="G116" s="136">
        <f t="shared" si="40"/>
        <v>146.19487000000001</v>
      </c>
      <c r="H116" s="140">
        <v>146.19487000000001</v>
      </c>
      <c r="I116" s="140"/>
      <c r="J116" s="136">
        <f t="shared" si="41"/>
        <v>146.19487000000001</v>
      </c>
      <c r="K116" s="140">
        <v>146.19487000000001</v>
      </c>
      <c r="L116" s="140"/>
      <c r="M116" s="201">
        <f t="shared" si="37"/>
        <v>100</v>
      </c>
      <c r="N116" s="201"/>
      <c r="O116" s="202" t="s">
        <v>518</v>
      </c>
      <c r="P116" s="178" t="s">
        <v>377</v>
      </c>
      <c r="Q116" s="25" t="s">
        <v>375</v>
      </c>
      <c r="R116" s="12"/>
    </row>
    <row r="117" spans="2:23" ht="104.25" customHeight="1" x14ac:dyDescent="0.25">
      <c r="B117" s="14"/>
      <c r="C117" s="25" t="s">
        <v>374</v>
      </c>
      <c r="D117" s="136">
        <f t="shared" si="39"/>
        <v>11.654999999999999</v>
      </c>
      <c r="E117" s="140">
        <v>11.654999999999999</v>
      </c>
      <c r="F117" s="139"/>
      <c r="G117" s="136">
        <f t="shared" si="40"/>
        <v>11.654999999999999</v>
      </c>
      <c r="H117" s="140">
        <v>11.654999999999999</v>
      </c>
      <c r="I117" s="140"/>
      <c r="J117" s="136">
        <f t="shared" si="41"/>
        <v>11.654999999999999</v>
      </c>
      <c r="K117" s="140">
        <v>11.654999999999999</v>
      </c>
      <c r="L117" s="140"/>
      <c r="M117" s="201"/>
      <c r="N117" s="201"/>
      <c r="O117" s="202"/>
      <c r="P117" s="178"/>
      <c r="Q117" s="25" t="s">
        <v>603</v>
      </c>
      <c r="R117" s="12"/>
    </row>
    <row r="118" spans="2:23" ht="90" customHeight="1" x14ac:dyDescent="0.25">
      <c r="B118" s="14"/>
      <c r="C118" s="97" t="s">
        <v>58</v>
      </c>
      <c r="D118" s="136">
        <f t="shared" si="39"/>
        <v>30.232150000000001</v>
      </c>
      <c r="E118" s="139">
        <v>30.232150000000001</v>
      </c>
      <c r="F118" s="139"/>
      <c r="G118" s="136">
        <f t="shared" si="40"/>
        <v>30.232150000000001</v>
      </c>
      <c r="H118" s="139">
        <v>30.232150000000001</v>
      </c>
      <c r="I118" s="140"/>
      <c r="J118" s="136">
        <f t="shared" si="41"/>
        <v>14.157909999999999</v>
      </c>
      <c r="K118" s="140">
        <f>4.96253+6.78487+2.41051</f>
        <v>14.157909999999999</v>
      </c>
      <c r="L118" s="140"/>
      <c r="M118" s="132">
        <f t="shared" si="37"/>
        <v>46.830642213669876</v>
      </c>
      <c r="N118" s="13"/>
      <c r="O118" s="98" t="s">
        <v>513</v>
      </c>
      <c r="P118" s="95" t="s">
        <v>240</v>
      </c>
      <c r="Q118" s="25" t="s">
        <v>373</v>
      </c>
      <c r="R118" s="12"/>
    </row>
    <row r="119" spans="2:23" ht="165.75" x14ac:dyDescent="0.25">
      <c r="B119" s="14"/>
      <c r="C119" s="25" t="s">
        <v>569</v>
      </c>
      <c r="D119" s="136">
        <f t="shared" si="39"/>
        <v>5</v>
      </c>
      <c r="E119" s="139">
        <v>5</v>
      </c>
      <c r="F119" s="139"/>
      <c r="G119" s="136">
        <f t="shared" si="40"/>
        <v>5</v>
      </c>
      <c r="H119" s="139">
        <v>5</v>
      </c>
      <c r="I119" s="140"/>
      <c r="J119" s="136">
        <f t="shared" si="41"/>
        <v>5</v>
      </c>
      <c r="K119" s="140">
        <v>5</v>
      </c>
      <c r="L119" s="140"/>
      <c r="M119" s="132">
        <f t="shared" si="37"/>
        <v>100</v>
      </c>
      <c r="N119" s="13"/>
      <c r="O119" s="98"/>
      <c r="P119" s="51" t="s">
        <v>399</v>
      </c>
      <c r="Q119" s="25" t="s">
        <v>383</v>
      </c>
      <c r="R119" s="12"/>
    </row>
    <row r="120" spans="2:23" ht="165.75" x14ac:dyDescent="0.25">
      <c r="B120" s="14"/>
      <c r="C120" s="25" t="s">
        <v>604</v>
      </c>
      <c r="D120" s="136">
        <f t="shared" si="39"/>
        <v>2</v>
      </c>
      <c r="E120" s="139">
        <v>2</v>
      </c>
      <c r="F120" s="139"/>
      <c r="G120" s="136">
        <f t="shared" si="40"/>
        <v>2</v>
      </c>
      <c r="H120" s="139">
        <v>2</v>
      </c>
      <c r="I120" s="140"/>
      <c r="J120" s="136">
        <f t="shared" si="41"/>
        <v>2</v>
      </c>
      <c r="K120" s="140">
        <f>1+1</f>
        <v>2</v>
      </c>
      <c r="L120" s="140"/>
      <c r="M120" s="132">
        <f t="shared" si="37"/>
        <v>100</v>
      </c>
      <c r="N120" s="13"/>
      <c r="O120" s="98"/>
      <c r="P120" s="51" t="s">
        <v>400</v>
      </c>
      <c r="Q120" s="25" t="s">
        <v>383</v>
      </c>
      <c r="R120" s="12"/>
    </row>
    <row r="121" spans="2:23" ht="175.5" customHeight="1" x14ac:dyDescent="0.25">
      <c r="B121" s="14"/>
      <c r="C121" s="25" t="s">
        <v>925</v>
      </c>
      <c r="D121" s="136">
        <f t="shared" si="39"/>
        <v>1.5</v>
      </c>
      <c r="E121" s="139">
        <v>1.5</v>
      </c>
      <c r="F121" s="139"/>
      <c r="G121" s="136">
        <f t="shared" si="40"/>
        <v>1.5</v>
      </c>
      <c r="H121" s="139">
        <v>1.5</v>
      </c>
      <c r="I121" s="140"/>
      <c r="J121" s="136">
        <f t="shared" si="41"/>
        <v>1.5</v>
      </c>
      <c r="K121" s="140">
        <v>1.5</v>
      </c>
      <c r="L121" s="140"/>
      <c r="M121" s="132">
        <f t="shared" si="37"/>
        <v>100</v>
      </c>
      <c r="N121" s="13"/>
      <c r="O121" s="98"/>
      <c r="P121" s="51" t="s">
        <v>401</v>
      </c>
      <c r="Q121" s="25" t="s">
        <v>402</v>
      </c>
      <c r="R121" s="12"/>
    </row>
    <row r="122" spans="2:23" ht="156.75" x14ac:dyDescent="0.25">
      <c r="B122" s="14"/>
      <c r="C122" s="25" t="s">
        <v>440</v>
      </c>
      <c r="D122" s="136">
        <f t="shared" si="39"/>
        <v>134.82599000000002</v>
      </c>
      <c r="E122" s="140">
        <v>1.7742100000000001</v>
      </c>
      <c r="F122" s="140">
        <v>133.05178000000001</v>
      </c>
      <c r="G122" s="136">
        <f t="shared" si="40"/>
        <v>709.46947999999998</v>
      </c>
      <c r="H122" s="140">
        <v>30.50648</v>
      </c>
      <c r="I122" s="140">
        <v>678.96299999999997</v>
      </c>
      <c r="J122" s="136">
        <f t="shared" si="41"/>
        <v>134.82599000000002</v>
      </c>
      <c r="K122" s="140">
        <v>1.7742100000000001</v>
      </c>
      <c r="L122" s="140">
        <v>133.05178000000001</v>
      </c>
      <c r="M122" s="132">
        <f t="shared" si="37"/>
        <v>100</v>
      </c>
      <c r="N122" s="13"/>
      <c r="O122" s="46" t="s">
        <v>438</v>
      </c>
      <c r="P122" s="52" t="s">
        <v>439</v>
      </c>
      <c r="Q122" s="96" t="s">
        <v>603</v>
      </c>
      <c r="R122" s="12" t="s">
        <v>613</v>
      </c>
      <c r="S122" s="116"/>
      <c r="W122" s="116"/>
    </row>
    <row r="123" spans="2:23" ht="74.25" customHeight="1" x14ac:dyDescent="0.25">
      <c r="B123" s="14"/>
      <c r="C123" s="39" t="s">
        <v>483</v>
      </c>
      <c r="D123" s="136">
        <f t="shared" si="39"/>
        <v>23.183389999999999</v>
      </c>
      <c r="E123" s="140">
        <v>23.183389999999999</v>
      </c>
      <c r="F123" s="139"/>
      <c r="G123" s="136">
        <f t="shared" si="40"/>
        <v>30.359179999999999</v>
      </c>
      <c r="H123" s="139">
        <v>30.359179999999999</v>
      </c>
      <c r="I123" s="140"/>
      <c r="J123" s="136">
        <f t="shared" si="41"/>
        <v>23.183389999999999</v>
      </c>
      <c r="K123" s="140">
        <v>23.183389999999999</v>
      </c>
      <c r="L123" s="140"/>
      <c r="M123" s="132">
        <f t="shared" si="37"/>
        <v>100</v>
      </c>
      <c r="N123" s="13"/>
      <c r="O123" s="98" t="s">
        <v>498</v>
      </c>
      <c r="P123" s="95" t="s">
        <v>452</v>
      </c>
      <c r="Q123" s="53" t="s">
        <v>499</v>
      </c>
      <c r="R123" s="12"/>
      <c r="S123" s="116"/>
      <c r="W123" s="116"/>
    </row>
    <row r="124" spans="2:23" ht="36" customHeight="1" x14ac:dyDescent="0.25">
      <c r="B124" s="14"/>
      <c r="C124" s="45" t="s">
        <v>496</v>
      </c>
      <c r="D124" s="136">
        <f t="shared" ref="D124:D134" si="42">E124+F124</f>
        <v>1.99E-3</v>
      </c>
      <c r="E124" s="139"/>
      <c r="F124" s="140">
        <v>1.99E-3</v>
      </c>
      <c r="G124" s="136">
        <f t="shared" ref="G124:G134" si="43">H124+I124</f>
        <v>7.6999999999999996E-4</v>
      </c>
      <c r="H124" s="139"/>
      <c r="I124" s="140">
        <v>7.6999999999999996E-4</v>
      </c>
      <c r="J124" s="136">
        <f t="shared" ref="J124:J134" si="44">K124+L124</f>
        <v>0</v>
      </c>
      <c r="K124" s="140"/>
      <c r="L124" s="140"/>
      <c r="M124" s="132">
        <f t="shared" ref="M124:M148" si="45">J124/D124%</f>
        <v>0</v>
      </c>
      <c r="N124" s="13"/>
      <c r="O124" s="98"/>
      <c r="P124" s="95"/>
      <c r="Q124" s="34"/>
      <c r="R124" s="12"/>
    </row>
    <row r="125" spans="2:23" ht="38.25" x14ac:dyDescent="0.25">
      <c r="B125" s="14"/>
      <c r="C125" s="45" t="s">
        <v>114</v>
      </c>
      <c r="D125" s="136">
        <f t="shared" si="42"/>
        <v>1.2768999999999999</v>
      </c>
      <c r="E125" s="139"/>
      <c r="F125" s="140">
        <f>0.78917+0.48773</f>
        <v>1.2768999999999999</v>
      </c>
      <c r="G125" s="136">
        <f t="shared" si="43"/>
        <v>1.2768999999999999</v>
      </c>
      <c r="H125" s="139"/>
      <c r="I125" s="140">
        <v>1.2768999999999999</v>
      </c>
      <c r="J125" s="136">
        <f t="shared" si="44"/>
        <v>0</v>
      </c>
      <c r="K125" s="140"/>
      <c r="L125" s="140"/>
      <c r="M125" s="132">
        <f t="shared" si="45"/>
        <v>0</v>
      </c>
      <c r="N125" s="13"/>
      <c r="O125" s="98"/>
      <c r="P125" s="95"/>
      <c r="Q125" s="34"/>
      <c r="R125" s="12"/>
    </row>
    <row r="126" spans="2:23" ht="12.75" x14ac:dyDescent="0.25">
      <c r="B126" s="14"/>
      <c r="C126" s="28" t="s">
        <v>497</v>
      </c>
      <c r="D126" s="136">
        <f t="shared" si="42"/>
        <v>12.931940000000001</v>
      </c>
      <c r="E126" s="136"/>
      <c r="F126" s="136">
        <v>12.931940000000001</v>
      </c>
      <c r="G126" s="136">
        <f t="shared" si="43"/>
        <v>0</v>
      </c>
      <c r="H126" s="139"/>
      <c r="I126" s="136"/>
      <c r="J126" s="136">
        <f t="shared" si="44"/>
        <v>0</v>
      </c>
      <c r="K126" s="136"/>
      <c r="L126" s="136"/>
      <c r="M126" s="132">
        <f t="shared" si="45"/>
        <v>0</v>
      </c>
      <c r="N126" s="13"/>
      <c r="O126" s="101"/>
      <c r="P126" s="100"/>
      <c r="Q126" s="34"/>
      <c r="R126" s="12"/>
    </row>
    <row r="127" spans="2:23" ht="12.75" x14ac:dyDescent="0.25">
      <c r="B127" s="14"/>
      <c r="C127" s="39" t="s">
        <v>876</v>
      </c>
      <c r="D127" s="136">
        <f t="shared" si="42"/>
        <v>200</v>
      </c>
      <c r="E127" s="139"/>
      <c r="F127" s="139">
        <v>200</v>
      </c>
      <c r="G127" s="136"/>
      <c r="H127" s="139"/>
      <c r="I127" s="140"/>
      <c r="J127" s="136"/>
      <c r="K127" s="140"/>
      <c r="L127" s="140"/>
      <c r="M127" s="132">
        <f t="shared" si="45"/>
        <v>0</v>
      </c>
      <c r="N127" s="13"/>
      <c r="O127" s="98"/>
      <c r="P127" s="95"/>
      <c r="Q127" s="34"/>
      <c r="R127" s="12"/>
    </row>
    <row r="128" spans="2:23" ht="178.5" x14ac:dyDescent="0.25">
      <c r="B128" s="14"/>
      <c r="C128" s="25" t="s">
        <v>643</v>
      </c>
      <c r="D128" s="136">
        <f t="shared" si="42"/>
        <v>13</v>
      </c>
      <c r="E128" s="139">
        <v>13</v>
      </c>
      <c r="F128" s="139"/>
      <c r="G128" s="136">
        <f t="shared" si="43"/>
        <v>0</v>
      </c>
      <c r="H128" s="139"/>
      <c r="I128" s="140"/>
      <c r="J128" s="136">
        <f t="shared" si="44"/>
        <v>13</v>
      </c>
      <c r="K128" s="140">
        <v>13</v>
      </c>
      <c r="L128" s="140"/>
      <c r="M128" s="132">
        <f t="shared" si="45"/>
        <v>100</v>
      </c>
      <c r="N128" s="13"/>
      <c r="O128" s="98"/>
      <c r="P128" s="25" t="s">
        <v>644</v>
      </c>
      <c r="Q128" s="25" t="s">
        <v>383</v>
      </c>
      <c r="R128" s="12"/>
    </row>
    <row r="129" spans="2:18" ht="178.5" x14ac:dyDescent="0.25">
      <c r="B129" s="14"/>
      <c r="C129" s="25" t="s">
        <v>892</v>
      </c>
      <c r="D129" s="136">
        <f t="shared" si="42"/>
        <v>2</v>
      </c>
      <c r="E129" s="139">
        <v>2</v>
      </c>
      <c r="F129" s="139"/>
      <c r="G129" s="136">
        <f t="shared" si="43"/>
        <v>0</v>
      </c>
      <c r="H129" s="139"/>
      <c r="I129" s="140"/>
      <c r="J129" s="136">
        <f t="shared" si="44"/>
        <v>1</v>
      </c>
      <c r="K129" s="140">
        <v>1</v>
      </c>
      <c r="L129" s="140"/>
      <c r="M129" s="132">
        <f t="shared" si="45"/>
        <v>50</v>
      </c>
      <c r="N129" s="13">
        <v>70</v>
      </c>
      <c r="O129" s="98"/>
      <c r="P129" s="25" t="s">
        <v>645</v>
      </c>
      <c r="Q129" s="25" t="s">
        <v>383</v>
      </c>
      <c r="R129" s="12"/>
    </row>
    <row r="130" spans="2:18" ht="178.5" x14ac:dyDescent="0.25">
      <c r="B130" s="14"/>
      <c r="C130" s="25" t="s">
        <v>893</v>
      </c>
      <c r="D130" s="136">
        <f t="shared" si="42"/>
        <v>2</v>
      </c>
      <c r="E130" s="139">
        <v>2</v>
      </c>
      <c r="F130" s="139"/>
      <c r="G130" s="136">
        <f t="shared" si="43"/>
        <v>0</v>
      </c>
      <c r="H130" s="139"/>
      <c r="I130" s="140"/>
      <c r="J130" s="136">
        <f t="shared" si="44"/>
        <v>1</v>
      </c>
      <c r="K130" s="140">
        <v>1</v>
      </c>
      <c r="L130" s="140"/>
      <c r="M130" s="132">
        <f t="shared" si="45"/>
        <v>50</v>
      </c>
      <c r="N130" s="13"/>
      <c r="O130" s="98"/>
      <c r="P130" s="25" t="s">
        <v>645</v>
      </c>
      <c r="Q130" s="25" t="s">
        <v>383</v>
      </c>
      <c r="R130" s="12"/>
    </row>
    <row r="131" spans="2:18" ht="95.25" customHeight="1" x14ac:dyDescent="0.25">
      <c r="B131" s="14"/>
      <c r="C131" s="25" t="s">
        <v>646</v>
      </c>
      <c r="D131" s="136">
        <f t="shared" si="42"/>
        <v>10</v>
      </c>
      <c r="E131" s="139">
        <v>10</v>
      </c>
      <c r="F131" s="139"/>
      <c r="G131" s="136">
        <f t="shared" si="43"/>
        <v>10</v>
      </c>
      <c r="H131" s="139">
        <v>10</v>
      </c>
      <c r="I131" s="140"/>
      <c r="J131" s="136">
        <f t="shared" si="44"/>
        <v>10</v>
      </c>
      <c r="K131" s="140">
        <f>2+1.1+6.9</f>
        <v>10</v>
      </c>
      <c r="L131" s="140"/>
      <c r="M131" s="132">
        <f t="shared" si="45"/>
        <v>100</v>
      </c>
      <c r="N131" s="13"/>
      <c r="O131" s="98" t="s">
        <v>799</v>
      </c>
      <c r="P131" s="95" t="s">
        <v>647</v>
      </c>
      <c r="Q131" s="34" t="s">
        <v>380</v>
      </c>
      <c r="R131" s="12"/>
    </row>
    <row r="132" spans="2:18" ht="80.25" x14ac:dyDescent="0.25">
      <c r="B132" s="14"/>
      <c r="C132" s="39" t="s">
        <v>798</v>
      </c>
      <c r="D132" s="136">
        <f t="shared" si="42"/>
        <v>200</v>
      </c>
      <c r="E132" s="139">
        <v>200</v>
      </c>
      <c r="F132" s="139"/>
      <c r="G132" s="136">
        <f t="shared" si="43"/>
        <v>250</v>
      </c>
      <c r="H132" s="139">
        <v>250</v>
      </c>
      <c r="I132" s="140"/>
      <c r="J132" s="136">
        <f t="shared" si="44"/>
        <v>197.95955000000001</v>
      </c>
      <c r="K132" s="140">
        <f>147.95955+50</f>
        <v>197.95955000000001</v>
      </c>
      <c r="L132" s="140"/>
      <c r="M132" s="132">
        <f t="shared" si="45"/>
        <v>98.979775000000004</v>
      </c>
      <c r="N132" s="13"/>
      <c r="O132" s="98" t="s">
        <v>797</v>
      </c>
      <c r="P132" s="95" t="s">
        <v>649</v>
      </c>
      <c r="Q132" s="25" t="s">
        <v>648</v>
      </c>
      <c r="R132" s="12"/>
    </row>
    <row r="133" spans="2:18" ht="111.75" customHeight="1" x14ac:dyDescent="0.25">
      <c r="B133" s="14"/>
      <c r="C133" s="39" t="s">
        <v>650</v>
      </c>
      <c r="D133" s="136">
        <f t="shared" si="42"/>
        <v>255</v>
      </c>
      <c r="E133" s="139">
        <v>255</v>
      </c>
      <c r="F133" s="139"/>
      <c r="G133" s="136">
        <f t="shared" si="43"/>
        <v>519.41044999999997</v>
      </c>
      <c r="H133" s="139">
        <v>519.41044999999997</v>
      </c>
      <c r="I133" s="140"/>
      <c r="J133" s="136">
        <f t="shared" si="44"/>
        <v>241.54886999999999</v>
      </c>
      <c r="K133" s="140">
        <f>151.54887+90</f>
        <v>241.54886999999999</v>
      </c>
      <c r="L133" s="140"/>
      <c r="M133" s="132">
        <f t="shared" si="45"/>
        <v>94.725047058823534</v>
      </c>
      <c r="N133" s="13"/>
      <c r="O133" s="109" t="s">
        <v>905</v>
      </c>
      <c r="P133" s="95" t="s">
        <v>651</v>
      </c>
      <c r="Q133" s="34" t="s">
        <v>652</v>
      </c>
      <c r="R133" s="12"/>
    </row>
    <row r="134" spans="2:18" ht="114" x14ac:dyDescent="0.25">
      <c r="B134" s="14"/>
      <c r="C134" s="39" t="s">
        <v>874</v>
      </c>
      <c r="D134" s="136">
        <f t="shared" si="42"/>
        <v>271.45099999999996</v>
      </c>
      <c r="E134" s="139">
        <v>29.65</v>
      </c>
      <c r="F134" s="139">
        <v>241.80099999999999</v>
      </c>
      <c r="G134" s="136">
        <f t="shared" si="43"/>
        <v>569.98091999999997</v>
      </c>
      <c r="H134" s="139">
        <v>29.65062</v>
      </c>
      <c r="I134" s="140">
        <v>540.33029999999997</v>
      </c>
      <c r="J134" s="136">
        <f t="shared" si="44"/>
        <v>261.35487000000001</v>
      </c>
      <c r="K134" s="140">
        <f>9.56774+10</f>
        <v>19.567740000000001</v>
      </c>
      <c r="L134" s="140">
        <f>170.337+60+11.45013</f>
        <v>241.78712999999999</v>
      </c>
      <c r="M134" s="132">
        <f t="shared" si="45"/>
        <v>96.280680491138369</v>
      </c>
      <c r="N134" s="13"/>
      <c r="O134" s="98" t="s">
        <v>795</v>
      </c>
      <c r="P134" s="95" t="s">
        <v>653</v>
      </c>
      <c r="Q134" s="34" t="s">
        <v>652</v>
      </c>
      <c r="R134" s="12"/>
    </row>
    <row r="135" spans="2:18" ht="102" customHeight="1" x14ac:dyDescent="0.25">
      <c r="B135" s="14"/>
      <c r="C135" s="25" t="s">
        <v>654</v>
      </c>
      <c r="D135" s="136">
        <f t="shared" ref="D135:D142" si="46">E135+F135</f>
        <v>49.743139999999997</v>
      </c>
      <c r="E135" s="139">
        <v>49.743139999999997</v>
      </c>
      <c r="F135" s="139"/>
      <c r="G135" s="136">
        <f t="shared" ref="G135:G142" si="47">H135+I135</f>
        <v>49.743139999999997</v>
      </c>
      <c r="H135" s="139">
        <v>49.743139999999997</v>
      </c>
      <c r="I135" s="140"/>
      <c r="J135" s="136">
        <f t="shared" ref="J135:J142" si="48">K135+L135</f>
        <v>48.294310000000003</v>
      </c>
      <c r="K135" s="140">
        <v>48.294310000000003</v>
      </c>
      <c r="L135" s="140"/>
      <c r="M135" s="132">
        <f t="shared" si="45"/>
        <v>97.087377274534745</v>
      </c>
      <c r="N135" s="13"/>
      <c r="O135" s="98" t="s">
        <v>796</v>
      </c>
      <c r="P135" s="95" t="s">
        <v>655</v>
      </c>
      <c r="Q135" s="34" t="s">
        <v>92</v>
      </c>
      <c r="R135" s="12"/>
    </row>
    <row r="136" spans="2:18" ht="70.5" customHeight="1" x14ac:dyDescent="0.25">
      <c r="B136" s="14"/>
      <c r="C136" s="25" t="s">
        <v>656</v>
      </c>
      <c r="D136" s="136">
        <f t="shared" si="46"/>
        <v>4.9000000000000004</v>
      </c>
      <c r="E136" s="139">
        <v>4.9000000000000004</v>
      </c>
      <c r="F136" s="139"/>
      <c r="G136" s="136">
        <f t="shared" si="47"/>
        <v>0</v>
      </c>
      <c r="H136" s="139"/>
      <c r="I136" s="140"/>
      <c r="J136" s="136">
        <f t="shared" si="48"/>
        <v>4.9000000000000004</v>
      </c>
      <c r="K136" s="140">
        <v>4.9000000000000004</v>
      </c>
      <c r="L136" s="140"/>
      <c r="M136" s="132">
        <f t="shared" si="45"/>
        <v>100</v>
      </c>
      <c r="N136" s="13"/>
      <c r="O136" s="109" t="s">
        <v>906</v>
      </c>
      <c r="P136" s="95" t="s">
        <v>657</v>
      </c>
      <c r="Q136" s="34" t="s">
        <v>658</v>
      </c>
      <c r="R136" s="12"/>
    </row>
    <row r="137" spans="2:18" ht="108" customHeight="1" x14ac:dyDescent="0.25">
      <c r="B137" s="14"/>
      <c r="C137" s="25" t="s">
        <v>659</v>
      </c>
      <c r="D137" s="136">
        <f t="shared" ref="D137:D141" si="49">E137+F137</f>
        <v>4.8</v>
      </c>
      <c r="E137" s="139">
        <v>4.8</v>
      </c>
      <c r="F137" s="139"/>
      <c r="G137" s="136">
        <f t="shared" ref="G137:G141" si="50">H137+I137</f>
        <v>4.8</v>
      </c>
      <c r="H137" s="139">
        <v>4.8</v>
      </c>
      <c r="I137" s="140"/>
      <c r="J137" s="136">
        <f t="shared" ref="J137:J141" si="51">K137+L137</f>
        <v>4.8</v>
      </c>
      <c r="K137" s="140">
        <v>4.8</v>
      </c>
      <c r="L137" s="140"/>
      <c r="M137" s="132">
        <f t="shared" si="45"/>
        <v>100</v>
      </c>
      <c r="N137" s="13"/>
      <c r="O137" s="109" t="s">
        <v>907</v>
      </c>
      <c r="P137" s="95" t="s">
        <v>660</v>
      </c>
      <c r="Q137" s="34" t="s">
        <v>85</v>
      </c>
      <c r="R137" s="12"/>
    </row>
    <row r="138" spans="2:18" ht="147" customHeight="1" x14ac:dyDescent="0.25">
      <c r="B138" s="14"/>
      <c r="C138" s="25" t="s">
        <v>661</v>
      </c>
      <c r="D138" s="136">
        <f t="shared" si="49"/>
        <v>95.002049999999997</v>
      </c>
      <c r="E138" s="139">
        <v>95.002049999999997</v>
      </c>
      <c r="F138" s="139"/>
      <c r="G138" s="136">
        <f t="shared" si="50"/>
        <v>95.002049999999997</v>
      </c>
      <c r="H138" s="139">
        <v>95.002049999999997</v>
      </c>
      <c r="I138" s="140"/>
      <c r="J138" s="136">
        <f t="shared" si="51"/>
        <v>94.993399999999994</v>
      </c>
      <c r="K138" s="140">
        <f>24.8864+70.107</f>
        <v>94.993399999999994</v>
      </c>
      <c r="L138" s="140"/>
      <c r="M138" s="132">
        <f t="shared" si="45"/>
        <v>99.990894933319865</v>
      </c>
      <c r="N138" s="13"/>
      <c r="O138" s="98" t="s">
        <v>799</v>
      </c>
      <c r="P138" s="95" t="s">
        <v>662</v>
      </c>
      <c r="Q138" s="34" t="s">
        <v>663</v>
      </c>
      <c r="R138" s="12"/>
    </row>
    <row r="139" spans="2:18" ht="133.5" customHeight="1" x14ac:dyDescent="0.25">
      <c r="B139" s="14"/>
      <c r="C139" s="25" t="s">
        <v>926</v>
      </c>
      <c r="D139" s="136">
        <f t="shared" si="49"/>
        <v>90</v>
      </c>
      <c r="E139" s="139">
        <v>90</v>
      </c>
      <c r="F139" s="139"/>
      <c r="G139" s="136">
        <f t="shared" si="50"/>
        <v>186.3</v>
      </c>
      <c r="H139" s="139">
        <v>186.3</v>
      </c>
      <c r="I139" s="140"/>
      <c r="J139" s="136">
        <f t="shared" si="51"/>
        <v>75.681839999999994</v>
      </c>
      <c r="K139" s="140">
        <v>75.681839999999994</v>
      </c>
      <c r="L139" s="140"/>
      <c r="M139" s="132">
        <f t="shared" si="45"/>
        <v>84.090933333333325</v>
      </c>
      <c r="N139" s="13"/>
      <c r="O139" s="109" t="s">
        <v>919</v>
      </c>
      <c r="P139" s="106" t="s">
        <v>710</v>
      </c>
      <c r="Q139" s="34" t="s">
        <v>205</v>
      </c>
      <c r="R139" s="12"/>
    </row>
    <row r="140" spans="2:18" ht="85.5" x14ac:dyDescent="0.25">
      <c r="B140" s="14"/>
      <c r="C140" s="128" t="s">
        <v>920</v>
      </c>
      <c r="D140" s="136">
        <f t="shared" si="49"/>
        <v>53.900039999999997</v>
      </c>
      <c r="E140" s="139">
        <v>53.900039999999997</v>
      </c>
      <c r="F140" s="139"/>
      <c r="G140" s="136">
        <f t="shared" si="50"/>
        <v>53.900039999999997</v>
      </c>
      <c r="H140" s="139">
        <v>53.900039999999997</v>
      </c>
      <c r="I140" s="140"/>
      <c r="J140" s="136">
        <f t="shared" si="51"/>
        <v>53.900040000000004</v>
      </c>
      <c r="K140" s="140">
        <f>16.43504+37.465</f>
        <v>53.900040000000004</v>
      </c>
      <c r="L140" s="140"/>
      <c r="M140" s="132">
        <f t="shared" si="45"/>
        <v>100.00000000000001</v>
      </c>
      <c r="N140" s="13"/>
      <c r="O140" s="109" t="s">
        <v>921</v>
      </c>
      <c r="P140" s="106" t="s">
        <v>711</v>
      </c>
      <c r="Q140" s="34" t="s">
        <v>712</v>
      </c>
      <c r="R140" s="12"/>
    </row>
    <row r="141" spans="2:18" ht="112.5" customHeight="1" x14ac:dyDescent="0.25">
      <c r="B141" s="14"/>
      <c r="C141" s="39" t="s">
        <v>713</v>
      </c>
      <c r="D141" s="136">
        <f t="shared" si="49"/>
        <v>52.421999999999997</v>
      </c>
      <c r="E141" s="139">
        <v>52.421999999999997</v>
      </c>
      <c r="F141" s="139"/>
      <c r="G141" s="136">
        <f t="shared" si="50"/>
        <v>98.387550000000005</v>
      </c>
      <c r="H141" s="139">
        <v>98.387550000000005</v>
      </c>
      <c r="I141" s="140"/>
      <c r="J141" s="136">
        <f t="shared" si="51"/>
        <v>52.420749999999998</v>
      </c>
      <c r="K141" s="140">
        <v>52.420749999999998</v>
      </c>
      <c r="L141" s="140"/>
      <c r="M141" s="132">
        <f t="shared" si="45"/>
        <v>99.997615504940669</v>
      </c>
      <c r="N141" s="13"/>
      <c r="O141" s="109" t="s">
        <v>908</v>
      </c>
      <c r="P141" s="95" t="s">
        <v>714</v>
      </c>
      <c r="Q141" s="34" t="s">
        <v>715</v>
      </c>
      <c r="R141" s="12"/>
    </row>
    <row r="142" spans="2:18" ht="76.5" x14ac:dyDescent="0.25">
      <c r="B142" s="14"/>
      <c r="C142" s="39" t="s">
        <v>716</v>
      </c>
      <c r="D142" s="136">
        <f t="shared" si="46"/>
        <v>15</v>
      </c>
      <c r="E142" s="139">
        <v>15</v>
      </c>
      <c r="F142" s="139"/>
      <c r="G142" s="136">
        <f t="shared" si="47"/>
        <v>15</v>
      </c>
      <c r="H142" s="139">
        <v>15</v>
      </c>
      <c r="I142" s="140"/>
      <c r="J142" s="136">
        <f t="shared" si="48"/>
        <v>10.9</v>
      </c>
      <c r="K142" s="140">
        <v>10.9</v>
      </c>
      <c r="L142" s="140"/>
      <c r="M142" s="132">
        <f t="shared" si="45"/>
        <v>72.666666666666671</v>
      </c>
      <c r="N142" s="13"/>
      <c r="O142" s="109" t="s">
        <v>909</v>
      </c>
      <c r="P142" s="95" t="s">
        <v>377</v>
      </c>
      <c r="Q142" s="34" t="s">
        <v>380</v>
      </c>
      <c r="R142" s="12"/>
    </row>
    <row r="143" spans="2:18" ht="102.75" x14ac:dyDescent="0.25">
      <c r="B143" s="14"/>
      <c r="C143" s="39" t="s">
        <v>717</v>
      </c>
      <c r="D143" s="136">
        <f t="shared" ref="D143:D144" si="52">E143+F143</f>
        <v>2</v>
      </c>
      <c r="E143" s="139">
        <v>2</v>
      </c>
      <c r="F143" s="139"/>
      <c r="G143" s="136">
        <f t="shared" ref="G143:G144" si="53">H143+I143</f>
        <v>0</v>
      </c>
      <c r="H143" s="139"/>
      <c r="I143" s="140"/>
      <c r="J143" s="136">
        <f t="shared" ref="J143:J144" si="54">K143+L143</f>
        <v>1</v>
      </c>
      <c r="K143" s="140">
        <v>1</v>
      </c>
      <c r="L143" s="140"/>
      <c r="M143" s="132">
        <f t="shared" si="45"/>
        <v>50</v>
      </c>
      <c r="N143" s="13"/>
      <c r="O143" s="98"/>
      <c r="P143" s="100" t="s">
        <v>718</v>
      </c>
      <c r="Q143" s="34" t="s">
        <v>383</v>
      </c>
      <c r="R143" s="12"/>
    </row>
    <row r="144" spans="2:18" ht="77.25" customHeight="1" x14ac:dyDescent="0.25">
      <c r="B144" s="14"/>
      <c r="C144" s="39" t="s">
        <v>875</v>
      </c>
      <c r="D144" s="136">
        <f t="shared" si="52"/>
        <v>59.050000000000004</v>
      </c>
      <c r="E144" s="139">
        <v>21.6</v>
      </c>
      <c r="F144" s="139">
        <v>37.450000000000003</v>
      </c>
      <c r="G144" s="136">
        <f t="shared" si="53"/>
        <v>294.99799999999999</v>
      </c>
      <c r="H144" s="139">
        <v>107.85127</v>
      </c>
      <c r="I144" s="140">
        <v>187.14672999999999</v>
      </c>
      <c r="J144" s="136">
        <f t="shared" si="54"/>
        <v>0</v>
      </c>
      <c r="K144" s="140"/>
      <c r="L144" s="140"/>
      <c r="M144" s="132">
        <f t="shared" si="45"/>
        <v>0</v>
      </c>
      <c r="N144" s="13">
        <v>15</v>
      </c>
      <c r="O144" s="98" t="s">
        <v>788</v>
      </c>
      <c r="P144" s="95" t="s">
        <v>720</v>
      </c>
      <c r="Q144" s="40" t="s">
        <v>787</v>
      </c>
      <c r="R144" s="12"/>
    </row>
    <row r="145" spans="2:18" ht="251.25" customHeight="1" x14ac:dyDescent="0.25">
      <c r="B145" s="14"/>
      <c r="C145" s="39" t="s">
        <v>785</v>
      </c>
      <c r="D145" s="136">
        <f t="shared" ref="D145:D148" si="55">E145+F145</f>
        <v>8.9</v>
      </c>
      <c r="E145" s="139">
        <v>8.9</v>
      </c>
      <c r="F145" s="139"/>
      <c r="G145" s="136">
        <f t="shared" ref="G145:G147" si="56">H145+I145</f>
        <v>44.48798</v>
      </c>
      <c r="H145" s="139">
        <v>44.48798</v>
      </c>
      <c r="I145" s="140"/>
      <c r="J145" s="136">
        <f t="shared" ref="J145:J147" si="57">K145+L145</f>
        <v>0</v>
      </c>
      <c r="K145" s="140"/>
      <c r="L145" s="140"/>
      <c r="M145" s="132">
        <f t="shared" si="45"/>
        <v>0</v>
      </c>
      <c r="N145" s="13"/>
      <c r="O145" s="98" t="s">
        <v>786</v>
      </c>
      <c r="P145" s="95" t="s">
        <v>721</v>
      </c>
      <c r="Q145" s="34" t="s">
        <v>789</v>
      </c>
      <c r="R145" s="12"/>
    </row>
    <row r="146" spans="2:18" ht="72.75" customHeight="1" x14ac:dyDescent="0.25">
      <c r="B146" s="14"/>
      <c r="C146" s="39" t="s">
        <v>791</v>
      </c>
      <c r="D146" s="136">
        <f t="shared" si="55"/>
        <v>83</v>
      </c>
      <c r="E146" s="139">
        <v>83</v>
      </c>
      <c r="F146" s="139"/>
      <c r="G146" s="136">
        <f t="shared" si="56"/>
        <v>183</v>
      </c>
      <c r="H146" s="139">
        <v>183</v>
      </c>
      <c r="I146" s="140"/>
      <c r="J146" s="136">
        <f t="shared" si="57"/>
        <v>0</v>
      </c>
      <c r="K146" s="140"/>
      <c r="L146" s="140"/>
      <c r="M146" s="132">
        <f t="shared" si="45"/>
        <v>0</v>
      </c>
      <c r="N146" s="13">
        <v>70</v>
      </c>
      <c r="O146" s="98" t="s">
        <v>792</v>
      </c>
      <c r="P146" s="95" t="s">
        <v>722</v>
      </c>
      <c r="Q146" s="34" t="s">
        <v>790</v>
      </c>
      <c r="R146" s="12"/>
    </row>
    <row r="147" spans="2:18" ht="121.5" customHeight="1" x14ac:dyDescent="0.25">
      <c r="B147" s="14"/>
      <c r="C147" s="39" t="s">
        <v>793</v>
      </c>
      <c r="D147" s="136">
        <f t="shared" si="55"/>
        <v>100</v>
      </c>
      <c r="E147" s="139">
        <v>100</v>
      </c>
      <c r="F147" s="139"/>
      <c r="G147" s="136">
        <f t="shared" si="56"/>
        <v>179.14</v>
      </c>
      <c r="H147" s="139">
        <v>179.14</v>
      </c>
      <c r="I147" s="140"/>
      <c r="J147" s="136">
        <f t="shared" si="57"/>
        <v>0</v>
      </c>
      <c r="K147" s="140"/>
      <c r="L147" s="140"/>
      <c r="M147" s="132">
        <f t="shared" si="45"/>
        <v>0</v>
      </c>
      <c r="N147" s="13">
        <v>65</v>
      </c>
      <c r="O147" s="98" t="s">
        <v>794</v>
      </c>
      <c r="P147" s="95" t="s">
        <v>723</v>
      </c>
      <c r="Q147" s="34" t="s">
        <v>790</v>
      </c>
      <c r="R147" s="12"/>
    </row>
    <row r="148" spans="2:18" ht="20.25" customHeight="1" x14ac:dyDescent="0.25">
      <c r="B148" s="14"/>
      <c r="C148" s="39"/>
      <c r="D148" s="136">
        <f t="shared" si="55"/>
        <v>241.52166</v>
      </c>
      <c r="E148" s="139">
        <v>241.52166</v>
      </c>
      <c r="F148" s="139"/>
      <c r="G148" s="136"/>
      <c r="H148" s="139"/>
      <c r="I148" s="140"/>
      <c r="J148" s="136"/>
      <c r="K148" s="140"/>
      <c r="L148" s="140"/>
      <c r="M148" s="132">
        <f t="shared" si="45"/>
        <v>0</v>
      </c>
      <c r="N148" s="13"/>
      <c r="O148" s="98"/>
      <c r="P148" s="95"/>
      <c r="Q148" s="34"/>
      <c r="R148" s="12"/>
    </row>
    <row r="149" spans="2:18" ht="12.75" x14ac:dyDescent="0.25">
      <c r="B149" s="14"/>
      <c r="C149" s="9" t="s">
        <v>19</v>
      </c>
      <c r="D149" s="136">
        <f t="shared" si="39"/>
        <v>3367.2544500000004</v>
      </c>
      <c r="E149" s="137">
        <f>SUM(E98:E148)</f>
        <v>2445.8980700000002</v>
      </c>
      <c r="F149" s="137">
        <f>SUM(F98:F147)</f>
        <v>921.35637999999994</v>
      </c>
      <c r="G149" s="136">
        <f t="shared" si="40"/>
        <v>5618.90157</v>
      </c>
      <c r="H149" s="137">
        <f>SUM(H98:H147)</f>
        <v>2980.4838099999997</v>
      </c>
      <c r="I149" s="137">
        <f>SUM(I98:I147)</f>
        <v>2638.4177600000003</v>
      </c>
      <c r="J149" s="136">
        <f t="shared" si="41"/>
        <v>2209.2966500000002</v>
      </c>
      <c r="K149" s="137">
        <f>SUM(K98:K147)</f>
        <v>1739.9690200000002</v>
      </c>
      <c r="L149" s="137">
        <f>SUM(L98:L147)</f>
        <v>469.32763</v>
      </c>
      <c r="M149" s="132">
        <f t="shared" si="37"/>
        <v>65.611217768232521</v>
      </c>
      <c r="N149" s="13"/>
      <c r="O149" s="14"/>
      <c r="P149" s="22"/>
      <c r="Q149" s="23"/>
      <c r="R149" s="12"/>
    </row>
    <row r="150" spans="2:18" ht="38.25" x14ac:dyDescent="0.25">
      <c r="B150" s="17" t="s">
        <v>115</v>
      </c>
      <c r="C150" s="54" t="s">
        <v>116</v>
      </c>
      <c r="D150" s="136"/>
      <c r="E150" s="135"/>
      <c r="F150" s="135"/>
      <c r="G150" s="136"/>
      <c r="H150" s="136"/>
      <c r="I150" s="137"/>
      <c r="J150" s="136"/>
      <c r="K150" s="136"/>
      <c r="L150" s="136"/>
      <c r="M150" s="132"/>
      <c r="N150" s="13"/>
      <c r="O150" s="10"/>
      <c r="P150" s="11"/>
      <c r="Q150" s="10"/>
      <c r="R150" s="12"/>
    </row>
    <row r="151" spans="2:18" ht="89.25" x14ac:dyDescent="0.25">
      <c r="B151" s="14"/>
      <c r="C151" s="28" t="s">
        <v>117</v>
      </c>
      <c r="D151" s="136">
        <f t="shared" si="39"/>
        <v>700.76199999999994</v>
      </c>
      <c r="E151" s="136">
        <f>864.39942-163.63742</f>
        <v>700.76199999999994</v>
      </c>
      <c r="F151" s="140"/>
      <c r="G151" s="136">
        <f t="shared" si="40"/>
        <v>791.65206000000001</v>
      </c>
      <c r="H151" s="136">
        <v>791.65206000000001</v>
      </c>
      <c r="I151" s="140"/>
      <c r="J151" s="136">
        <f t="shared" si="41"/>
        <v>694.39419999999996</v>
      </c>
      <c r="K151" s="136">
        <f>87.57372+281.65206+70.08078+0.38352+64.55634+58.23457+59.83891+1.62708+70.44722</f>
        <v>694.39419999999996</v>
      </c>
      <c r="L151" s="140"/>
      <c r="M151" s="132">
        <f t="shared" si="37"/>
        <v>99.091303466797569</v>
      </c>
      <c r="N151" s="13"/>
      <c r="O151" s="94"/>
      <c r="P151" s="47" t="s">
        <v>118</v>
      </c>
      <c r="Q151" s="34" t="s">
        <v>75</v>
      </c>
      <c r="R151" s="12"/>
    </row>
    <row r="152" spans="2:18" ht="84.75" customHeight="1" x14ac:dyDescent="0.25">
      <c r="B152" s="14"/>
      <c r="C152" s="28" t="s">
        <v>572</v>
      </c>
      <c r="D152" s="136">
        <f t="shared" si="39"/>
        <v>251.238</v>
      </c>
      <c r="E152" s="136">
        <v>251.238</v>
      </c>
      <c r="F152" s="140"/>
      <c r="G152" s="136">
        <f t="shared" si="40"/>
        <v>334.98500000000001</v>
      </c>
      <c r="H152" s="136">
        <v>334.98500000000001</v>
      </c>
      <c r="I152" s="140"/>
      <c r="J152" s="136">
        <f t="shared" si="41"/>
        <v>244.077</v>
      </c>
      <c r="K152" s="136">
        <f>26.24345+28.3308+79.0811+29.10255+28.2217+27.291+25.8064</f>
        <v>244.077</v>
      </c>
      <c r="L152" s="140"/>
      <c r="M152" s="132">
        <f t="shared" si="37"/>
        <v>97.149714613235261</v>
      </c>
      <c r="N152" s="13"/>
      <c r="O152" s="94" t="s">
        <v>119</v>
      </c>
      <c r="P152" s="94" t="s">
        <v>120</v>
      </c>
      <c r="Q152" s="94" t="s">
        <v>121</v>
      </c>
      <c r="R152" s="12"/>
    </row>
    <row r="153" spans="2:18" ht="12.75" x14ac:dyDescent="0.25">
      <c r="B153" s="14"/>
      <c r="C153" s="55" t="s">
        <v>19</v>
      </c>
      <c r="D153" s="136">
        <f t="shared" si="39"/>
        <v>952</v>
      </c>
      <c r="E153" s="140">
        <f>SUM(E151:E152)</f>
        <v>952</v>
      </c>
      <c r="F153" s="140">
        <f>SUM(F151:F152)</f>
        <v>0</v>
      </c>
      <c r="G153" s="136">
        <f t="shared" si="40"/>
        <v>1126.63706</v>
      </c>
      <c r="H153" s="140">
        <f>SUM(H151:H152)</f>
        <v>1126.63706</v>
      </c>
      <c r="I153" s="140">
        <f>SUM(I151:I152)</f>
        <v>0</v>
      </c>
      <c r="J153" s="136">
        <f t="shared" si="41"/>
        <v>938.47119999999995</v>
      </c>
      <c r="K153" s="140">
        <f>SUM(K151:K152)</f>
        <v>938.47119999999995</v>
      </c>
      <c r="L153" s="140">
        <f>SUM(L151:L152)</f>
        <v>0</v>
      </c>
      <c r="M153" s="132">
        <f t="shared" si="37"/>
        <v>98.578907563025211</v>
      </c>
      <c r="N153" s="13"/>
      <c r="O153" s="14"/>
      <c r="P153" s="22"/>
      <c r="Q153" s="23"/>
      <c r="R153" s="12"/>
    </row>
    <row r="154" spans="2:18" ht="19.5" customHeight="1" x14ac:dyDescent="0.25">
      <c r="B154" s="17" t="s">
        <v>122</v>
      </c>
      <c r="C154" s="4" t="s">
        <v>123</v>
      </c>
      <c r="D154" s="136"/>
      <c r="E154" s="135"/>
      <c r="F154" s="135"/>
      <c r="G154" s="136"/>
      <c r="H154" s="136"/>
      <c r="I154" s="137"/>
      <c r="J154" s="136"/>
      <c r="K154" s="136"/>
      <c r="L154" s="136"/>
      <c r="M154" s="132"/>
      <c r="N154" s="13"/>
      <c r="O154" s="10"/>
      <c r="P154" s="11"/>
      <c r="Q154" s="10"/>
      <c r="R154" s="12"/>
    </row>
    <row r="155" spans="2:18" ht="102" x14ac:dyDescent="0.25">
      <c r="B155" s="14"/>
      <c r="C155" s="28" t="s">
        <v>124</v>
      </c>
      <c r="D155" s="136">
        <f t="shared" si="39"/>
        <v>0.3</v>
      </c>
      <c r="E155" s="136">
        <v>0.3</v>
      </c>
      <c r="F155" s="140"/>
      <c r="G155" s="136">
        <f t="shared" si="40"/>
        <v>0.3</v>
      </c>
      <c r="H155" s="136">
        <v>0.3</v>
      </c>
      <c r="I155" s="140"/>
      <c r="J155" s="136">
        <f t="shared" si="41"/>
        <v>0.3</v>
      </c>
      <c r="K155" s="136">
        <v>0.3</v>
      </c>
      <c r="L155" s="140"/>
      <c r="M155" s="132">
        <f t="shared" si="37"/>
        <v>100</v>
      </c>
      <c r="N155" s="13"/>
      <c r="O155" s="97"/>
      <c r="P155" s="47" t="s">
        <v>125</v>
      </c>
      <c r="Q155" s="34" t="s">
        <v>88</v>
      </c>
      <c r="R155" s="50"/>
    </row>
    <row r="156" spans="2:18" ht="102" x14ac:dyDescent="0.25">
      <c r="B156" s="14"/>
      <c r="C156" s="28" t="s">
        <v>126</v>
      </c>
      <c r="D156" s="136">
        <f t="shared" si="39"/>
        <v>0.3</v>
      </c>
      <c r="E156" s="140">
        <v>0.3</v>
      </c>
      <c r="F156" s="140"/>
      <c r="G156" s="136">
        <f t="shared" si="40"/>
        <v>0.3</v>
      </c>
      <c r="H156" s="140">
        <v>0.3</v>
      </c>
      <c r="I156" s="140"/>
      <c r="J156" s="136">
        <f t="shared" si="41"/>
        <v>0.3</v>
      </c>
      <c r="K156" s="140">
        <v>0.3</v>
      </c>
      <c r="L156" s="140"/>
      <c r="M156" s="132">
        <f t="shared" si="37"/>
        <v>100</v>
      </c>
      <c r="N156" s="13"/>
      <c r="O156" s="97"/>
      <c r="P156" s="47" t="s">
        <v>125</v>
      </c>
      <c r="Q156" s="34" t="s">
        <v>88</v>
      </c>
      <c r="R156" s="50"/>
    </row>
    <row r="157" spans="2:18" ht="65.25" customHeight="1" x14ac:dyDescent="0.25">
      <c r="B157" s="14"/>
      <c r="C157" s="28" t="s">
        <v>127</v>
      </c>
      <c r="D157" s="136">
        <f t="shared" si="39"/>
        <v>17.878219999999999</v>
      </c>
      <c r="E157" s="140">
        <v>17.878219999999999</v>
      </c>
      <c r="F157" s="140"/>
      <c r="G157" s="136">
        <f t="shared" si="40"/>
        <v>17.878219999999999</v>
      </c>
      <c r="H157" s="140">
        <v>17.878219999999999</v>
      </c>
      <c r="I157" s="140"/>
      <c r="J157" s="136">
        <f t="shared" si="41"/>
        <v>17.878219999999999</v>
      </c>
      <c r="K157" s="140">
        <v>17.878219999999999</v>
      </c>
      <c r="L157" s="140"/>
      <c r="M157" s="132">
        <f t="shared" si="37"/>
        <v>99.999999999999986</v>
      </c>
      <c r="N157" s="13"/>
      <c r="O157" s="97" t="s">
        <v>128</v>
      </c>
      <c r="P157" s="56">
        <v>158</v>
      </c>
      <c r="Q157" s="34" t="s">
        <v>129</v>
      </c>
      <c r="R157" s="50"/>
    </row>
    <row r="158" spans="2:18" ht="189" customHeight="1" x14ac:dyDescent="0.25">
      <c r="B158" s="14"/>
      <c r="C158" s="99" t="s">
        <v>130</v>
      </c>
      <c r="D158" s="136">
        <f t="shared" si="39"/>
        <v>304.42995999999999</v>
      </c>
      <c r="E158" s="147">
        <v>304.42995999999999</v>
      </c>
      <c r="F158" s="140"/>
      <c r="G158" s="136">
        <f t="shared" si="40"/>
        <v>304.42995999999999</v>
      </c>
      <c r="H158" s="147">
        <v>304.42995999999999</v>
      </c>
      <c r="I158" s="140"/>
      <c r="J158" s="136">
        <f t="shared" si="41"/>
        <v>304.42995999999999</v>
      </c>
      <c r="K158" s="140">
        <v>304.42995999999999</v>
      </c>
      <c r="L158" s="140"/>
      <c r="M158" s="132">
        <f t="shared" si="37"/>
        <v>100</v>
      </c>
      <c r="N158" s="13">
        <v>100</v>
      </c>
      <c r="O158" s="97" t="s">
        <v>131</v>
      </c>
      <c r="P158" s="47">
        <v>20</v>
      </c>
      <c r="Q158" s="99" t="s">
        <v>132</v>
      </c>
      <c r="R158" s="50"/>
    </row>
    <row r="159" spans="2:18" ht="62.25" customHeight="1" x14ac:dyDescent="0.25">
      <c r="B159" s="14"/>
      <c r="C159" s="28" t="s">
        <v>133</v>
      </c>
      <c r="D159" s="136">
        <f t="shared" si="39"/>
        <v>74.461219999999997</v>
      </c>
      <c r="E159" s="147">
        <v>74.461219999999997</v>
      </c>
      <c r="F159" s="140"/>
      <c r="G159" s="136">
        <f t="shared" si="40"/>
        <v>74.989689999999996</v>
      </c>
      <c r="H159" s="147">
        <v>74.989689999999996</v>
      </c>
      <c r="I159" s="140"/>
      <c r="J159" s="136">
        <f t="shared" si="41"/>
        <v>74.461219999999997</v>
      </c>
      <c r="K159" s="140">
        <v>74.461219999999997</v>
      </c>
      <c r="L159" s="140"/>
      <c r="M159" s="132">
        <f t="shared" si="37"/>
        <v>100</v>
      </c>
      <c r="N159" s="13">
        <v>75</v>
      </c>
      <c r="O159" s="97" t="s">
        <v>134</v>
      </c>
      <c r="P159" s="47">
        <v>39</v>
      </c>
      <c r="Q159" s="34" t="s">
        <v>135</v>
      </c>
      <c r="R159" s="50"/>
    </row>
    <row r="160" spans="2:18" ht="78.75" customHeight="1" x14ac:dyDescent="0.25">
      <c r="B160" s="14"/>
      <c r="C160" s="93" t="s">
        <v>136</v>
      </c>
      <c r="D160" s="136">
        <f t="shared" si="39"/>
        <v>23</v>
      </c>
      <c r="E160" s="140">
        <v>23</v>
      </c>
      <c r="F160" s="140"/>
      <c r="G160" s="136">
        <f t="shared" si="40"/>
        <v>23</v>
      </c>
      <c r="H160" s="140">
        <v>23</v>
      </c>
      <c r="I160" s="140"/>
      <c r="J160" s="136">
        <f t="shared" si="41"/>
        <v>21.291879999999999</v>
      </c>
      <c r="K160" s="140">
        <v>21.291879999999999</v>
      </c>
      <c r="L160" s="140"/>
      <c r="M160" s="132">
        <f t="shared" si="37"/>
        <v>92.573391304347822</v>
      </c>
      <c r="N160" s="13"/>
      <c r="O160" s="97" t="s">
        <v>137</v>
      </c>
      <c r="P160" s="56" t="s">
        <v>138</v>
      </c>
      <c r="Q160" s="34" t="s">
        <v>139</v>
      </c>
      <c r="R160" s="50"/>
    </row>
    <row r="161" spans="2:18" ht="165.75" x14ac:dyDescent="0.25">
      <c r="B161" s="14"/>
      <c r="C161" s="25" t="s">
        <v>382</v>
      </c>
      <c r="D161" s="136">
        <f t="shared" si="39"/>
        <v>13</v>
      </c>
      <c r="E161" s="140">
        <v>13</v>
      </c>
      <c r="F161" s="140"/>
      <c r="G161" s="136">
        <f t="shared" si="40"/>
        <v>13</v>
      </c>
      <c r="H161" s="140">
        <v>13</v>
      </c>
      <c r="I161" s="140"/>
      <c r="J161" s="136">
        <f t="shared" si="41"/>
        <v>13</v>
      </c>
      <c r="K161" s="140">
        <v>13</v>
      </c>
      <c r="L161" s="140"/>
      <c r="M161" s="132">
        <f t="shared" si="37"/>
        <v>100</v>
      </c>
      <c r="N161" s="13"/>
      <c r="O161" s="97"/>
      <c r="P161" s="51" t="s">
        <v>384</v>
      </c>
      <c r="Q161" s="25" t="s">
        <v>383</v>
      </c>
      <c r="R161" s="50"/>
    </row>
    <row r="162" spans="2:18" ht="57" customHeight="1" x14ac:dyDescent="0.25">
      <c r="B162" s="14"/>
      <c r="C162" s="96" t="s">
        <v>527</v>
      </c>
      <c r="D162" s="136">
        <f t="shared" si="39"/>
        <v>3.4</v>
      </c>
      <c r="E162" s="140">
        <v>3.4</v>
      </c>
      <c r="F162" s="140"/>
      <c r="G162" s="136">
        <f t="shared" si="40"/>
        <v>3.4</v>
      </c>
      <c r="H162" s="140">
        <v>3.4</v>
      </c>
      <c r="I162" s="140"/>
      <c r="J162" s="136">
        <f t="shared" si="41"/>
        <v>0</v>
      </c>
      <c r="K162" s="140"/>
      <c r="L162" s="140"/>
      <c r="M162" s="132">
        <f t="shared" si="37"/>
        <v>0</v>
      </c>
      <c r="N162" s="13"/>
      <c r="O162" s="97" t="s">
        <v>513</v>
      </c>
      <c r="P162" s="56">
        <v>29</v>
      </c>
      <c r="Q162" s="96" t="s">
        <v>241</v>
      </c>
      <c r="R162" s="50"/>
    </row>
    <row r="163" spans="2:18" ht="243" customHeight="1" x14ac:dyDescent="0.25">
      <c r="B163" s="14"/>
      <c r="C163" s="39" t="s">
        <v>877</v>
      </c>
      <c r="D163" s="136">
        <f t="shared" si="39"/>
        <v>494.762</v>
      </c>
      <c r="E163" s="140">
        <v>80</v>
      </c>
      <c r="F163" s="140">
        <v>414.762</v>
      </c>
      <c r="G163" s="136">
        <f t="shared" si="40"/>
        <v>638.99973999999997</v>
      </c>
      <c r="H163" s="140">
        <v>171.12413000000001</v>
      </c>
      <c r="I163" s="140">
        <v>467.87560999999999</v>
      </c>
      <c r="J163" s="136">
        <f t="shared" si="41"/>
        <v>127.79900000000001</v>
      </c>
      <c r="K163" s="140">
        <v>34.223999999999997</v>
      </c>
      <c r="L163" s="140">
        <v>93.575000000000003</v>
      </c>
      <c r="M163" s="132">
        <f t="shared" si="37"/>
        <v>25.830399262675794</v>
      </c>
      <c r="N163" s="13">
        <v>55</v>
      </c>
      <c r="O163" s="97" t="s">
        <v>792</v>
      </c>
      <c r="P163" s="56" t="s">
        <v>664</v>
      </c>
      <c r="Q163" s="96" t="s">
        <v>291</v>
      </c>
      <c r="R163" s="50"/>
    </row>
    <row r="164" spans="2:18" ht="178.5" x14ac:dyDescent="0.25">
      <c r="B164" s="14"/>
      <c r="C164" s="25" t="s">
        <v>665</v>
      </c>
      <c r="D164" s="136">
        <f t="shared" si="39"/>
        <v>0.6</v>
      </c>
      <c r="E164" s="140">
        <v>0.6</v>
      </c>
      <c r="F164" s="140"/>
      <c r="G164" s="136">
        <f t="shared" si="40"/>
        <v>0</v>
      </c>
      <c r="H164" s="140"/>
      <c r="I164" s="140"/>
      <c r="J164" s="136">
        <f t="shared" si="41"/>
        <v>0.6</v>
      </c>
      <c r="K164" s="140">
        <v>0.6</v>
      </c>
      <c r="L164" s="140"/>
      <c r="M164" s="132">
        <f t="shared" si="37"/>
        <v>100</v>
      </c>
      <c r="N164" s="13"/>
      <c r="O164" s="97"/>
      <c r="P164" s="25" t="s">
        <v>667</v>
      </c>
      <c r="Q164" s="25" t="s">
        <v>383</v>
      </c>
      <c r="R164" s="50"/>
    </row>
    <row r="165" spans="2:18" ht="178.5" x14ac:dyDescent="0.25">
      <c r="B165" s="14"/>
      <c r="C165" s="25" t="s">
        <v>666</v>
      </c>
      <c r="D165" s="136">
        <f t="shared" si="39"/>
        <v>0.6</v>
      </c>
      <c r="E165" s="140">
        <v>0.6</v>
      </c>
      <c r="F165" s="140"/>
      <c r="G165" s="136">
        <f t="shared" si="40"/>
        <v>0.6</v>
      </c>
      <c r="H165" s="140">
        <v>0.6</v>
      </c>
      <c r="I165" s="140"/>
      <c r="J165" s="136">
        <f t="shared" si="41"/>
        <v>0.6</v>
      </c>
      <c r="K165" s="140">
        <v>0.6</v>
      </c>
      <c r="L165" s="140"/>
      <c r="M165" s="132">
        <f t="shared" si="37"/>
        <v>100</v>
      </c>
      <c r="N165" s="13"/>
      <c r="O165" s="97"/>
      <c r="P165" s="25" t="s">
        <v>667</v>
      </c>
      <c r="Q165" s="25" t="s">
        <v>383</v>
      </c>
      <c r="R165" s="50"/>
    </row>
    <row r="166" spans="2:18" ht="90.75" customHeight="1" x14ac:dyDescent="0.25">
      <c r="B166" s="14"/>
      <c r="C166" s="96" t="s">
        <v>668</v>
      </c>
      <c r="D166" s="136">
        <f t="shared" ref="D166:D169" si="58">E166+F166</f>
        <v>1.45</v>
      </c>
      <c r="E166" s="140">
        <v>1.45</v>
      </c>
      <c r="F166" s="140"/>
      <c r="G166" s="136">
        <f t="shared" ref="G166:G168" si="59">H166+I166</f>
        <v>1.45</v>
      </c>
      <c r="H166" s="140">
        <v>1.45</v>
      </c>
      <c r="I166" s="140"/>
      <c r="J166" s="136">
        <f t="shared" ref="J166:J168" si="60">K166+L166</f>
        <v>1.45</v>
      </c>
      <c r="K166" s="140">
        <v>1.45</v>
      </c>
      <c r="L166" s="140"/>
      <c r="M166" s="132">
        <f t="shared" ref="M166:M167" si="61">J166/D166%</f>
        <v>100</v>
      </c>
      <c r="N166" s="13"/>
      <c r="O166" s="97" t="s">
        <v>910</v>
      </c>
      <c r="P166" s="56" t="s">
        <v>669</v>
      </c>
      <c r="Q166" s="96" t="s">
        <v>85</v>
      </c>
      <c r="R166" s="50"/>
    </row>
    <row r="167" spans="2:18" ht="79.5" customHeight="1" x14ac:dyDescent="0.25">
      <c r="B167" s="14"/>
      <c r="C167" s="96" t="s">
        <v>724</v>
      </c>
      <c r="D167" s="136">
        <f t="shared" si="58"/>
        <v>2.4649999999999999</v>
      </c>
      <c r="E167" s="140">
        <v>2.4649999999999999</v>
      </c>
      <c r="F167" s="140"/>
      <c r="G167" s="136">
        <f t="shared" si="59"/>
        <v>2.4649999999999999</v>
      </c>
      <c r="H167" s="140">
        <v>2.4649999999999999</v>
      </c>
      <c r="I167" s="140"/>
      <c r="J167" s="136">
        <f t="shared" si="60"/>
        <v>2.4649999999999999</v>
      </c>
      <c r="K167" s="140">
        <v>2.4649999999999999</v>
      </c>
      <c r="L167" s="140"/>
      <c r="M167" s="132">
        <f t="shared" si="61"/>
        <v>100</v>
      </c>
      <c r="N167" s="13"/>
      <c r="O167" s="97" t="s">
        <v>911</v>
      </c>
      <c r="P167" s="56" t="s">
        <v>725</v>
      </c>
      <c r="Q167" s="96" t="s">
        <v>85</v>
      </c>
      <c r="R167" s="50"/>
    </row>
    <row r="168" spans="2:18" ht="57.75" x14ac:dyDescent="0.25">
      <c r="B168" s="14"/>
      <c r="C168" s="39" t="s">
        <v>801</v>
      </c>
      <c r="D168" s="136">
        <f t="shared" si="58"/>
        <v>20</v>
      </c>
      <c r="E168" s="140">
        <v>20</v>
      </c>
      <c r="F168" s="140"/>
      <c r="G168" s="136">
        <f t="shared" si="59"/>
        <v>78.587959999999995</v>
      </c>
      <c r="H168" s="140">
        <v>78.587959999999995</v>
      </c>
      <c r="I168" s="140"/>
      <c r="J168" s="136">
        <f t="shared" si="60"/>
        <v>0</v>
      </c>
      <c r="K168" s="140"/>
      <c r="L168" s="140"/>
      <c r="M168" s="132"/>
      <c r="N168" s="13"/>
      <c r="O168" s="97" t="s">
        <v>802</v>
      </c>
      <c r="P168" s="56" t="s">
        <v>726</v>
      </c>
      <c r="Q168" s="96" t="s">
        <v>800</v>
      </c>
      <c r="R168" s="50"/>
    </row>
    <row r="169" spans="2:18" ht="12.75" x14ac:dyDescent="0.25">
      <c r="B169" s="14"/>
      <c r="C169" s="39"/>
      <c r="D169" s="136">
        <f t="shared" si="58"/>
        <v>72.254599999999996</v>
      </c>
      <c r="E169" s="140">
        <v>72.254599999999996</v>
      </c>
      <c r="F169" s="140"/>
      <c r="G169" s="136"/>
      <c r="H169" s="140"/>
      <c r="I169" s="140"/>
      <c r="J169" s="136"/>
      <c r="K169" s="140"/>
      <c r="L169" s="140"/>
      <c r="M169" s="132"/>
      <c r="N169" s="122"/>
      <c r="O169" s="105"/>
      <c r="P169" s="56"/>
      <c r="Q169" s="107"/>
      <c r="R169" s="50"/>
    </row>
    <row r="170" spans="2:18" ht="12.75" x14ac:dyDescent="0.25">
      <c r="B170" s="14"/>
      <c r="C170" s="55" t="s">
        <v>19</v>
      </c>
      <c r="D170" s="136">
        <f t="shared" si="39"/>
        <v>1028.9010000000001</v>
      </c>
      <c r="E170" s="140">
        <f>SUM(E155:E169)</f>
        <v>614.13900000000012</v>
      </c>
      <c r="F170" s="140">
        <f>SUM(F155:F168)</f>
        <v>414.762</v>
      </c>
      <c r="G170" s="136">
        <f t="shared" si="40"/>
        <v>1159.40057</v>
      </c>
      <c r="H170" s="140">
        <f>SUM(H155:H168)</f>
        <v>691.52496000000008</v>
      </c>
      <c r="I170" s="140">
        <f>SUM(I155:I168)</f>
        <v>467.87560999999999</v>
      </c>
      <c r="J170" s="136">
        <f t="shared" si="41"/>
        <v>564.57528000000002</v>
      </c>
      <c r="K170" s="140">
        <f>SUM(K155:K168)</f>
        <v>471.00028000000003</v>
      </c>
      <c r="L170" s="140">
        <f>SUM(L155:L168)</f>
        <v>93.575000000000003</v>
      </c>
      <c r="M170" s="132">
        <f t="shared" si="37"/>
        <v>54.871681532042437</v>
      </c>
      <c r="N170" s="13"/>
      <c r="O170" s="57"/>
      <c r="P170" s="22"/>
      <c r="Q170" s="23"/>
      <c r="R170" s="58"/>
    </row>
    <row r="171" spans="2:18" ht="51" x14ac:dyDescent="0.25">
      <c r="B171" s="17" t="s">
        <v>140</v>
      </c>
      <c r="C171" s="9" t="s">
        <v>141</v>
      </c>
      <c r="D171" s="136"/>
      <c r="E171" s="135"/>
      <c r="F171" s="135"/>
      <c r="G171" s="136"/>
      <c r="H171" s="136"/>
      <c r="I171" s="137"/>
      <c r="J171" s="136"/>
      <c r="K171" s="136"/>
      <c r="L171" s="136"/>
      <c r="M171" s="132"/>
      <c r="N171" s="13"/>
      <c r="O171" s="10"/>
      <c r="P171" s="11"/>
      <c r="Q171" s="10"/>
      <c r="R171" s="12"/>
    </row>
    <row r="172" spans="2:18" ht="151.5" customHeight="1" x14ac:dyDescent="0.25">
      <c r="B172" s="14"/>
      <c r="C172" s="28" t="s">
        <v>142</v>
      </c>
      <c r="D172" s="136">
        <f t="shared" si="39"/>
        <v>10.661099999999999</v>
      </c>
      <c r="E172" s="136">
        <v>10.661099999999999</v>
      </c>
      <c r="F172" s="140"/>
      <c r="G172" s="136">
        <f t="shared" si="40"/>
        <v>10.661099999999999</v>
      </c>
      <c r="H172" s="136">
        <v>10.661099999999999</v>
      </c>
      <c r="I172" s="140"/>
      <c r="J172" s="136">
        <f t="shared" si="41"/>
        <v>10.300559999999999</v>
      </c>
      <c r="K172" s="136">
        <v>10.300559999999999</v>
      </c>
      <c r="L172" s="140"/>
      <c r="M172" s="132">
        <f t="shared" ref="M172:M246" si="62">J172/D172%</f>
        <v>96.618172608830221</v>
      </c>
      <c r="N172" s="13"/>
      <c r="O172" s="176" t="s">
        <v>143</v>
      </c>
      <c r="P172" s="175" t="s">
        <v>144</v>
      </c>
      <c r="Q172" s="180" t="s">
        <v>145</v>
      </c>
      <c r="R172" s="165"/>
    </row>
    <row r="173" spans="2:18" ht="156" customHeight="1" x14ac:dyDescent="0.25">
      <c r="B173" s="14"/>
      <c r="C173" s="28" t="s">
        <v>146</v>
      </c>
      <c r="D173" s="136">
        <f t="shared" si="39"/>
        <v>5.8132999999999999</v>
      </c>
      <c r="E173" s="136">
        <v>5.8132999999999999</v>
      </c>
      <c r="F173" s="140"/>
      <c r="G173" s="136">
        <f t="shared" si="40"/>
        <v>5.8132999999999999</v>
      </c>
      <c r="H173" s="136">
        <v>5.8132999999999999</v>
      </c>
      <c r="I173" s="140"/>
      <c r="J173" s="136">
        <f t="shared" si="41"/>
        <v>5.6167300000000004</v>
      </c>
      <c r="K173" s="136">
        <v>5.6167300000000004</v>
      </c>
      <c r="L173" s="140"/>
      <c r="M173" s="132">
        <f t="shared" si="62"/>
        <v>96.618615932430814</v>
      </c>
      <c r="N173" s="13"/>
      <c r="O173" s="176"/>
      <c r="P173" s="175"/>
      <c r="Q173" s="180"/>
      <c r="R173" s="166"/>
    </row>
    <row r="174" spans="2:18" ht="125.25" customHeight="1" x14ac:dyDescent="0.25">
      <c r="B174" s="14"/>
      <c r="C174" s="28" t="s">
        <v>147</v>
      </c>
      <c r="D174" s="136">
        <f t="shared" si="39"/>
        <v>1.3575999999999999</v>
      </c>
      <c r="E174" s="136">
        <v>1.3575999999999999</v>
      </c>
      <c r="F174" s="140"/>
      <c r="G174" s="136">
        <f t="shared" si="40"/>
        <v>23.630880000000001</v>
      </c>
      <c r="H174" s="136">
        <v>23.630880000000001</v>
      </c>
      <c r="I174" s="147"/>
      <c r="J174" s="136">
        <f t="shared" si="41"/>
        <v>1.3575999999999999</v>
      </c>
      <c r="K174" s="136">
        <v>1.3575999999999999</v>
      </c>
      <c r="L174" s="140"/>
      <c r="M174" s="132">
        <f t="shared" si="62"/>
        <v>100</v>
      </c>
      <c r="N174" s="13"/>
      <c r="O174" s="176" t="s">
        <v>148</v>
      </c>
      <c r="P174" s="178" t="s">
        <v>149</v>
      </c>
      <c r="Q174" s="179" t="s">
        <v>150</v>
      </c>
      <c r="R174" s="50" t="s">
        <v>151</v>
      </c>
    </row>
    <row r="175" spans="2:18" ht="127.5" x14ac:dyDescent="0.25">
      <c r="B175" s="14"/>
      <c r="C175" s="28" t="s">
        <v>152</v>
      </c>
      <c r="D175" s="136">
        <f t="shared" si="39"/>
        <v>0.57789000000000001</v>
      </c>
      <c r="E175" s="136">
        <v>0.57789000000000001</v>
      </c>
      <c r="F175" s="140"/>
      <c r="G175" s="136">
        <f t="shared" si="40"/>
        <v>15.07888</v>
      </c>
      <c r="H175" s="136">
        <v>15.07888</v>
      </c>
      <c r="I175" s="140"/>
      <c r="J175" s="136">
        <f t="shared" si="41"/>
        <v>0.57789000000000001</v>
      </c>
      <c r="K175" s="136">
        <v>0.57789000000000001</v>
      </c>
      <c r="L175" s="140"/>
      <c r="M175" s="132">
        <f t="shared" si="62"/>
        <v>100</v>
      </c>
      <c r="N175" s="13"/>
      <c r="O175" s="176"/>
      <c r="P175" s="178"/>
      <c r="Q175" s="179"/>
      <c r="R175" s="50" t="s">
        <v>153</v>
      </c>
    </row>
    <row r="176" spans="2:18" ht="113.25" customHeight="1" x14ac:dyDescent="0.25">
      <c r="B176" s="14"/>
      <c r="C176" s="28" t="s">
        <v>154</v>
      </c>
      <c r="D176" s="136">
        <f t="shared" si="39"/>
        <v>12.40579</v>
      </c>
      <c r="E176" s="147">
        <v>12.40579</v>
      </c>
      <c r="F176" s="140"/>
      <c r="G176" s="136">
        <f t="shared" si="40"/>
        <v>12.40579</v>
      </c>
      <c r="H176" s="147">
        <v>12.40579</v>
      </c>
      <c r="I176" s="147"/>
      <c r="J176" s="136">
        <f t="shared" si="41"/>
        <v>9.6175700000000006</v>
      </c>
      <c r="K176" s="136">
        <v>9.6175700000000006</v>
      </c>
      <c r="L176" s="140"/>
      <c r="M176" s="132">
        <f t="shared" si="62"/>
        <v>77.524849284084297</v>
      </c>
      <c r="N176" s="13"/>
      <c r="O176" s="14" t="s">
        <v>481</v>
      </c>
      <c r="P176" s="95" t="s">
        <v>155</v>
      </c>
      <c r="Q176" s="59" t="s">
        <v>145</v>
      </c>
      <c r="R176" s="50"/>
    </row>
    <row r="177" spans="2:21" ht="139.5" customHeight="1" x14ac:dyDescent="0.25">
      <c r="B177" s="14"/>
      <c r="C177" s="59" t="s">
        <v>573</v>
      </c>
      <c r="D177" s="136">
        <f t="shared" si="39"/>
        <v>0.2</v>
      </c>
      <c r="E177" s="147">
        <v>0.2</v>
      </c>
      <c r="F177" s="140"/>
      <c r="G177" s="136">
        <f t="shared" si="40"/>
        <v>0.2</v>
      </c>
      <c r="H177" s="147">
        <v>0.2</v>
      </c>
      <c r="I177" s="147"/>
      <c r="J177" s="136">
        <f t="shared" si="41"/>
        <v>0.2</v>
      </c>
      <c r="K177" s="136">
        <v>0.2</v>
      </c>
      <c r="L177" s="140"/>
      <c r="M177" s="132">
        <f t="shared" si="62"/>
        <v>100</v>
      </c>
      <c r="N177" s="13"/>
      <c r="O177" s="176" t="s">
        <v>482</v>
      </c>
      <c r="P177" s="178" t="s">
        <v>157</v>
      </c>
      <c r="Q177" s="180" t="s">
        <v>158</v>
      </c>
      <c r="R177" s="50"/>
    </row>
    <row r="178" spans="2:21" ht="87.75" customHeight="1" x14ac:dyDescent="0.25">
      <c r="B178" s="14"/>
      <c r="C178" s="28" t="s">
        <v>159</v>
      </c>
      <c r="D178" s="136">
        <f t="shared" si="39"/>
        <v>0.6</v>
      </c>
      <c r="E178" s="136">
        <v>0.6</v>
      </c>
      <c r="F178" s="140"/>
      <c r="G178" s="136">
        <f t="shared" si="40"/>
        <v>0.6</v>
      </c>
      <c r="H178" s="147">
        <v>0.6</v>
      </c>
      <c r="I178" s="147"/>
      <c r="J178" s="136">
        <f t="shared" si="41"/>
        <v>0.42605999999999999</v>
      </c>
      <c r="K178" s="136">
        <v>0.42605999999999999</v>
      </c>
      <c r="L178" s="140"/>
      <c r="M178" s="132">
        <f t="shared" si="62"/>
        <v>71.009999999999991</v>
      </c>
      <c r="N178" s="13"/>
      <c r="O178" s="176"/>
      <c r="P178" s="178"/>
      <c r="Q178" s="180"/>
      <c r="R178" s="50"/>
    </row>
    <row r="179" spans="2:21" ht="164.25" customHeight="1" x14ac:dyDescent="0.25">
      <c r="B179" s="14"/>
      <c r="C179" s="28" t="s">
        <v>160</v>
      </c>
      <c r="D179" s="136">
        <f t="shared" si="39"/>
        <v>1.3720000000000001</v>
      </c>
      <c r="E179" s="147">
        <v>1.3720000000000001</v>
      </c>
      <c r="F179" s="140"/>
      <c r="G179" s="136">
        <f t="shared" si="40"/>
        <v>1.3720000000000001</v>
      </c>
      <c r="H179" s="147">
        <v>1.3720000000000001</v>
      </c>
      <c r="I179" s="147"/>
      <c r="J179" s="136">
        <f t="shared" si="41"/>
        <v>1.3260399999999999</v>
      </c>
      <c r="K179" s="136">
        <f>0.24812+1.07792</f>
        <v>1.3260399999999999</v>
      </c>
      <c r="L179" s="140"/>
      <c r="M179" s="132">
        <f t="shared" si="62"/>
        <v>96.65014577259474</v>
      </c>
      <c r="N179" s="13"/>
      <c r="O179" s="14" t="s">
        <v>161</v>
      </c>
      <c r="P179" s="95" t="s">
        <v>162</v>
      </c>
      <c r="Q179" s="34" t="s">
        <v>163</v>
      </c>
      <c r="R179" s="12"/>
    </row>
    <row r="180" spans="2:21" ht="102" customHeight="1" x14ac:dyDescent="0.25">
      <c r="B180" s="14"/>
      <c r="C180" s="28" t="s">
        <v>164</v>
      </c>
      <c r="D180" s="136">
        <f t="shared" si="39"/>
        <v>24.577380000000002</v>
      </c>
      <c r="E180" s="140"/>
      <c r="F180" s="140">
        <v>24.577380000000002</v>
      </c>
      <c r="G180" s="136">
        <f t="shared" si="40"/>
        <v>24.577380000000002</v>
      </c>
      <c r="H180" s="136"/>
      <c r="I180" s="140">
        <v>24.577380000000002</v>
      </c>
      <c r="J180" s="136">
        <f t="shared" si="41"/>
        <v>14.2682</v>
      </c>
      <c r="K180" s="136"/>
      <c r="L180" s="140">
        <v>14.2682</v>
      </c>
      <c r="M180" s="132">
        <f t="shared" si="62"/>
        <v>58.054194547994939</v>
      </c>
      <c r="N180" s="13">
        <v>100</v>
      </c>
      <c r="O180" s="176" t="s">
        <v>165</v>
      </c>
      <c r="P180" s="175" t="s">
        <v>166</v>
      </c>
      <c r="Q180" s="181" t="s">
        <v>167</v>
      </c>
      <c r="R180" s="12"/>
      <c r="S180" s="116"/>
      <c r="U180" s="116"/>
    </row>
    <row r="181" spans="2:21" ht="102" x14ac:dyDescent="0.25">
      <c r="B181" s="14"/>
      <c r="C181" s="28" t="s">
        <v>168</v>
      </c>
      <c r="D181" s="136">
        <f t="shared" si="39"/>
        <v>19.3933</v>
      </c>
      <c r="E181" s="136"/>
      <c r="F181" s="136">
        <v>19.3933</v>
      </c>
      <c r="G181" s="136">
        <f t="shared" si="40"/>
        <v>19.3933</v>
      </c>
      <c r="H181" s="136"/>
      <c r="I181" s="136">
        <v>19.3933</v>
      </c>
      <c r="J181" s="136">
        <f t="shared" si="41"/>
        <v>15.87129</v>
      </c>
      <c r="K181" s="136"/>
      <c r="L181" s="136">
        <v>15.87129</v>
      </c>
      <c r="M181" s="132">
        <f t="shared" si="62"/>
        <v>81.839037193257468</v>
      </c>
      <c r="N181" s="13"/>
      <c r="O181" s="176"/>
      <c r="P181" s="175"/>
      <c r="Q181" s="181"/>
      <c r="R181" s="26"/>
    </row>
    <row r="182" spans="2:21" ht="102" x14ac:dyDescent="0.25">
      <c r="B182" s="14"/>
      <c r="C182" s="28" t="s">
        <v>169</v>
      </c>
      <c r="D182" s="136">
        <f t="shared" si="39"/>
        <v>32.076169999999998</v>
      </c>
      <c r="E182" s="140"/>
      <c r="F182" s="140">
        <v>32.076169999999998</v>
      </c>
      <c r="G182" s="136">
        <f t="shared" si="40"/>
        <v>32.076169999999998</v>
      </c>
      <c r="H182" s="136"/>
      <c r="I182" s="140">
        <v>32.076169999999998</v>
      </c>
      <c r="J182" s="136">
        <f t="shared" si="41"/>
        <v>29.785699999999999</v>
      </c>
      <c r="K182" s="136"/>
      <c r="L182" s="140">
        <v>29.785699999999999</v>
      </c>
      <c r="M182" s="132">
        <f t="shared" si="62"/>
        <v>92.859278398886147</v>
      </c>
      <c r="N182" s="13"/>
      <c r="O182" s="14" t="s">
        <v>165</v>
      </c>
      <c r="P182" s="175"/>
      <c r="Q182" s="181"/>
      <c r="R182" s="12"/>
    </row>
    <row r="183" spans="2:21" ht="105.75" customHeight="1" x14ac:dyDescent="0.25">
      <c r="B183" s="14"/>
      <c r="C183" s="28" t="s">
        <v>170</v>
      </c>
      <c r="D183" s="136">
        <f t="shared" si="39"/>
        <v>5.1045600000000002</v>
      </c>
      <c r="E183" s="136"/>
      <c r="F183" s="140">
        <v>5.1045600000000002</v>
      </c>
      <c r="G183" s="136">
        <f t="shared" si="40"/>
        <v>5.1045600000000002</v>
      </c>
      <c r="H183" s="136"/>
      <c r="I183" s="140">
        <v>5.1045600000000002</v>
      </c>
      <c r="J183" s="136">
        <f t="shared" si="41"/>
        <v>0.24512</v>
      </c>
      <c r="K183" s="136"/>
      <c r="L183" s="140">
        <v>0.24512</v>
      </c>
      <c r="M183" s="132">
        <f t="shared" si="62"/>
        <v>4.8019809738743398</v>
      </c>
      <c r="N183" s="13"/>
      <c r="O183" s="176" t="s">
        <v>171</v>
      </c>
      <c r="P183" s="175" t="s">
        <v>172</v>
      </c>
      <c r="Q183" s="180" t="s">
        <v>145</v>
      </c>
      <c r="R183" s="193" t="s">
        <v>803</v>
      </c>
    </row>
    <row r="184" spans="2:21" ht="114.75" customHeight="1" x14ac:dyDescent="0.25">
      <c r="B184" s="14"/>
      <c r="C184" s="28" t="s">
        <v>173</v>
      </c>
      <c r="D184" s="136">
        <f t="shared" si="39"/>
        <v>6.2688899999999999</v>
      </c>
      <c r="E184" s="136"/>
      <c r="F184" s="140">
        <v>6.2688899999999999</v>
      </c>
      <c r="G184" s="136">
        <f t="shared" si="40"/>
        <v>6.2688899999999999</v>
      </c>
      <c r="H184" s="136"/>
      <c r="I184" s="140">
        <v>6.2688899999999999</v>
      </c>
      <c r="J184" s="136">
        <f t="shared" si="41"/>
        <v>0</v>
      </c>
      <c r="K184" s="136"/>
      <c r="L184" s="140"/>
      <c r="M184" s="132">
        <f t="shared" si="62"/>
        <v>0</v>
      </c>
      <c r="N184" s="13"/>
      <c r="O184" s="176"/>
      <c r="P184" s="175"/>
      <c r="Q184" s="180"/>
      <c r="R184" s="193"/>
    </row>
    <row r="185" spans="2:21" ht="126" customHeight="1" x14ac:dyDescent="0.25">
      <c r="B185" s="14"/>
      <c r="C185" s="28" t="s">
        <v>174</v>
      </c>
      <c r="D185" s="136">
        <f t="shared" si="39"/>
        <v>21.6145</v>
      </c>
      <c r="E185" s="136"/>
      <c r="F185" s="147">
        <v>21.6145</v>
      </c>
      <c r="G185" s="136">
        <f t="shared" si="40"/>
        <v>21.6145</v>
      </c>
      <c r="H185" s="147"/>
      <c r="I185" s="147">
        <v>21.6145</v>
      </c>
      <c r="J185" s="136">
        <f t="shared" si="41"/>
        <v>16.162489999999998</v>
      </c>
      <c r="K185" s="136"/>
      <c r="L185" s="140">
        <v>16.162489999999998</v>
      </c>
      <c r="M185" s="132">
        <f t="shared" si="62"/>
        <v>74.776145642971144</v>
      </c>
      <c r="N185" s="13"/>
      <c r="O185" s="14" t="s">
        <v>175</v>
      </c>
      <c r="P185" s="94" t="s">
        <v>176</v>
      </c>
      <c r="Q185" s="96" t="s">
        <v>177</v>
      </c>
      <c r="R185" s="12"/>
    </row>
    <row r="186" spans="2:21" ht="96.75" x14ac:dyDescent="0.25">
      <c r="B186" s="14"/>
      <c r="C186" s="28" t="s">
        <v>178</v>
      </c>
      <c r="D186" s="136">
        <f t="shared" si="39"/>
        <v>34.986089999999997</v>
      </c>
      <c r="E186" s="136">
        <v>34.986089999999997</v>
      </c>
      <c r="F186" s="140"/>
      <c r="G186" s="136">
        <f t="shared" si="40"/>
        <v>67.375949999999989</v>
      </c>
      <c r="H186" s="136">
        <v>67.375949999999989</v>
      </c>
      <c r="I186" s="140"/>
      <c r="J186" s="136">
        <f t="shared" si="41"/>
        <v>34.986089999999997</v>
      </c>
      <c r="K186" s="136">
        <v>34.986089999999997</v>
      </c>
      <c r="L186" s="140"/>
      <c r="M186" s="132">
        <f t="shared" si="62"/>
        <v>100</v>
      </c>
      <c r="N186" s="13"/>
      <c r="O186" s="176" t="s">
        <v>179</v>
      </c>
      <c r="P186" s="175" t="s">
        <v>180</v>
      </c>
      <c r="Q186" s="198" t="s">
        <v>181</v>
      </c>
      <c r="R186" s="12" t="s">
        <v>182</v>
      </c>
    </row>
    <row r="187" spans="2:21" ht="94.5" customHeight="1" x14ac:dyDescent="0.25">
      <c r="B187" s="14"/>
      <c r="C187" s="28" t="s">
        <v>183</v>
      </c>
      <c r="D187" s="136">
        <f t="shared" si="39"/>
        <v>21.389299999999999</v>
      </c>
      <c r="E187" s="136">
        <v>21.389299999999999</v>
      </c>
      <c r="F187" s="140"/>
      <c r="G187" s="136">
        <f t="shared" si="40"/>
        <v>21.425070000000002</v>
      </c>
      <c r="H187" s="136">
        <v>21.425070000000002</v>
      </c>
      <c r="I187" s="140"/>
      <c r="J187" s="136">
        <f t="shared" si="41"/>
        <v>21.389299999999999</v>
      </c>
      <c r="K187" s="136">
        <v>21.389299999999999</v>
      </c>
      <c r="L187" s="140"/>
      <c r="M187" s="132">
        <f t="shared" si="62"/>
        <v>100</v>
      </c>
      <c r="N187" s="13"/>
      <c r="O187" s="176"/>
      <c r="P187" s="175"/>
      <c r="Q187" s="198"/>
      <c r="R187" s="12"/>
    </row>
    <row r="188" spans="2:21" ht="96.75" x14ac:dyDescent="0.25">
      <c r="B188" s="14"/>
      <c r="C188" s="28" t="s">
        <v>184</v>
      </c>
      <c r="D188" s="136">
        <f t="shared" si="39"/>
        <v>2.7499699999999998</v>
      </c>
      <c r="E188" s="136">
        <v>2.7499699999999998</v>
      </c>
      <c r="F188" s="140"/>
      <c r="G188" s="136">
        <f t="shared" si="40"/>
        <v>14.322569999999999</v>
      </c>
      <c r="H188" s="136">
        <v>14.322569999999999</v>
      </c>
      <c r="I188" s="140"/>
      <c r="J188" s="136">
        <f t="shared" si="41"/>
        <v>2.7499699999999998</v>
      </c>
      <c r="K188" s="136">
        <v>2.7499699999999998</v>
      </c>
      <c r="L188" s="140"/>
      <c r="M188" s="132">
        <f t="shared" si="62"/>
        <v>100</v>
      </c>
      <c r="N188" s="13"/>
      <c r="O188" s="176"/>
      <c r="P188" s="175"/>
      <c r="Q188" s="198"/>
      <c r="R188" s="12" t="s">
        <v>185</v>
      </c>
    </row>
    <row r="189" spans="2:21" ht="108.75" x14ac:dyDescent="0.25">
      <c r="B189" s="14"/>
      <c r="C189" s="28" t="s">
        <v>186</v>
      </c>
      <c r="D189" s="136">
        <f t="shared" si="39"/>
        <v>11.443949999999999</v>
      </c>
      <c r="E189" s="136">
        <v>11.443949999999999</v>
      </c>
      <c r="F189" s="140"/>
      <c r="G189" s="136">
        <f t="shared" si="40"/>
        <v>24.868929999999999</v>
      </c>
      <c r="H189" s="136">
        <v>24.868929999999999</v>
      </c>
      <c r="I189" s="147"/>
      <c r="J189" s="136">
        <f t="shared" si="41"/>
        <v>11.443949999999999</v>
      </c>
      <c r="K189" s="136">
        <v>11.443949999999999</v>
      </c>
      <c r="L189" s="140"/>
      <c r="M189" s="132">
        <f t="shared" si="62"/>
        <v>100</v>
      </c>
      <c r="N189" s="13"/>
      <c r="O189" s="176"/>
      <c r="P189" s="175"/>
      <c r="Q189" s="198"/>
      <c r="R189" s="12" t="s">
        <v>187</v>
      </c>
      <c r="S189" s="116"/>
    </row>
    <row r="190" spans="2:21" ht="128.25" customHeight="1" x14ac:dyDescent="0.25">
      <c r="B190" s="14"/>
      <c r="C190" s="28" t="s">
        <v>188</v>
      </c>
      <c r="D190" s="136">
        <f t="shared" si="39"/>
        <v>10.786619999999999</v>
      </c>
      <c r="E190" s="136"/>
      <c r="F190" s="140">
        <v>10.786619999999999</v>
      </c>
      <c r="G190" s="136">
        <f t="shared" si="40"/>
        <v>10.786619999999999</v>
      </c>
      <c r="H190" s="140"/>
      <c r="I190" s="140">
        <v>10.786619999999999</v>
      </c>
      <c r="J190" s="136">
        <f t="shared" si="41"/>
        <v>10.786519999999999</v>
      </c>
      <c r="K190" s="136"/>
      <c r="L190" s="140">
        <v>10.786519999999999</v>
      </c>
      <c r="M190" s="132">
        <f t="shared" si="62"/>
        <v>99.99907292553182</v>
      </c>
      <c r="N190" s="13"/>
      <c r="O190" s="176" t="s">
        <v>27</v>
      </c>
      <c r="P190" s="178" t="s">
        <v>189</v>
      </c>
      <c r="Q190" s="207" t="s">
        <v>190</v>
      </c>
      <c r="R190" s="12"/>
    </row>
    <row r="191" spans="2:21" ht="131.25" customHeight="1" x14ac:dyDescent="0.25">
      <c r="B191" s="14"/>
      <c r="C191" s="28" t="s">
        <v>191</v>
      </c>
      <c r="D191" s="136">
        <f t="shared" si="39"/>
        <v>22.989180000000001</v>
      </c>
      <c r="E191" s="136"/>
      <c r="F191" s="140">
        <v>22.989180000000001</v>
      </c>
      <c r="G191" s="136">
        <f t="shared" si="40"/>
        <v>22.989180000000001</v>
      </c>
      <c r="H191" s="140"/>
      <c r="I191" s="140">
        <v>22.989180000000001</v>
      </c>
      <c r="J191" s="136">
        <f t="shared" si="41"/>
        <v>22.989180000000001</v>
      </c>
      <c r="K191" s="136"/>
      <c r="L191" s="140">
        <v>22.989180000000001</v>
      </c>
      <c r="M191" s="132">
        <f t="shared" si="62"/>
        <v>100</v>
      </c>
      <c r="N191" s="13"/>
      <c r="O191" s="176"/>
      <c r="P191" s="178"/>
      <c r="Q191" s="207"/>
      <c r="R191" s="12"/>
    </row>
    <row r="192" spans="2:21" ht="125.25" customHeight="1" x14ac:dyDescent="0.25">
      <c r="B192" s="14"/>
      <c r="C192" s="28" t="s">
        <v>192</v>
      </c>
      <c r="D192" s="136">
        <f t="shared" si="39"/>
        <v>30.454999999999998</v>
      </c>
      <c r="E192" s="147"/>
      <c r="F192" s="140">
        <v>30.454999999999998</v>
      </c>
      <c r="G192" s="136">
        <f t="shared" si="40"/>
        <v>30.454999999999998</v>
      </c>
      <c r="H192" s="140"/>
      <c r="I192" s="140">
        <v>30.454999999999998</v>
      </c>
      <c r="J192" s="136">
        <f t="shared" si="41"/>
        <v>30.454999999999998</v>
      </c>
      <c r="K192" s="136"/>
      <c r="L192" s="140">
        <v>30.454999999999998</v>
      </c>
      <c r="M192" s="132">
        <f t="shared" si="62"/>
        <v>100</v>
      </c>
      <c r="N192" s="13"/>
      <c r="O192" s="176"/>
      <c r="P192" s="178"/>
      <c r="Q192" s="207"/>
      <c r="R192" s="12"/>
    </row>
    <row r="193" spans="2:18" ht="121.5" customHeight="1" x14ac:dyDescent="0.25">
      <c r="B193" s="14"/>
      <c r="C193" s="28" t="s">
        <v>193</v>
      </c>
      <c r="D193" s="136">
        <f t="shared" ref="D193:D254" si="63">E193+F193</f>
        <v>48.495550000000001</v>
      </c>
      <c r="E193" s="147"/>
      <c r="F193" s="140">
        <v>48.495550000000001</v>
      </c>
      <c r="G193" s="136">
        <f t="shared" ref="G193:G254" si="64">H193+I193</f>
        <v>48.495550000000001</v>
      </c>
      <c r="H193" s="140"/>
      <c r="I193" s="140">
        <v>48.495550000000001</v>
      </c>
      <c r="J193" s="136">
        <f t="shared" ref="J193:J254" si="65">K193+L193</f>
        <v>40.682540000000003</v>
      </c>
      <c r="K193" s="136"/>
      <c r="L193" s="140">
        <v>40.682540000000003</v>
      </c>
      <c r="M193" s="132">
        <f t="shared" si="62"/>
        <v>83.889222825599461</v>
      </c>
      <c r="N193" s="13"/>
      <c r="O193" s="176"/>
      <c r="P193" s="178"/>
      <c r="Q193" s="207"/>
      <c r="R193" s="12"/>
    </row>
    <row r="194" spans="2:18" ht="128.25" customHeight="1" x14ac:dyDescent="0.25">
      <c r="B194" s="14"/>
      <c r="C194" s="28" t="s">
        <v>194</v>
      </c>
      <c r="D194" s="136">
        <f t="shared" si="63"/>
        <v>2.10046</v>
      </c>
      <c r="E194" s="147"/>
      <c r="F194" s="140">
        <v>2.10046</v>
      </c>
      <c r="G194" s="136">
        <f t="shared" si="64"/>
        <v>2.10046</v>
      </c>
      <c r="H194" s="140"/>
      <c r="I194" s="140">
        <v>2.10046</v>
      </c>
      <c r="J194" s="136">
        <f t="shared" si="65"/>
        <v>0</v>
      </c>
      <c r="K194" s="136"/>
      <c r="L194" s="140"/>
      <c r="M194" s="132">
        <f t="shared" si="62"/>
        <v>0</v>
      </c>
      <c r="N194" s="13">
        <v>100</v>
      </c>
      <c r="O194" s="176"/>
      <c r="P194" s="178"/>
      <c r="Q194" s="207"/>
      <c r="R194" s="12"/>
    </row>
    <row r="195" spans="2:18" ht="78" customHeight="1" x14ac:dyDescent="0.25">
      <c r="B195" s="14"/>
      <c r="C195" s="28" t="s">
        <v>574</v>
      </c>
      <c r="D195" s="136">
        <f t="shared" si="63"/>
        <v>23.579979999999999</v>
      </c>
      <c r="E195" s="147"/>
      <c r="F195" s="136">
        <v>23.579979999999999</v>
      </c>
      <c r="G195" s="136">
        <f t="shared" si="64"/>
        <v>24.734999999999999</v>
      </c>
      <c r="H195" s="147"/>
      <c r="I195" s="140">
        <v>24.734999999999999</v>
      </c>
      <c r="J195" s="136">
        <f t="shared" si="65"/>
        <v>23.579979999999999</v>
      </c>
      <c r="K195" s="136"/>
      <c r="L195" s="140">
        <v>23.579979999999999</v>
      </c>
      <c r="M195" s="132">
        <f t="shared" si="62"/>
        <v>100</v>
      </c>
      <c r="N195" s="13"/>
      <c r="O195" s="14" t="s">
        <v>195</v>
      </c>
      <c r="P195" s="95" t="s">
        <v>196</v>
      </c>
      <c r="Q195" s="60" t="s">
        <v>190</v>
      </c>
      <c r="R195" s="26"/>
    </row>
    <row r="196" spans="2:18" ht="112.5" customHeight="1" x14ac:dyDescent="0.25">
      <c r="B196" s="14"/>
      <c r="C196" s="28" t="s">
        <v>197</v>
      </c>
      <c r="D196" s="136">
        <f t="shared" si="63"/>
        <v>15.762700000000001</v>
      </c>
      <c r="E196" s="147"/>
      <c r="F196" s="140">
        <v>15.762700000000001</v>
      </c>
      <c r="G196" s="136">
        <f t="shared" si="64"/>
        <v>15.762700000000001</v>
      </c>
      <c r="H196" s="140"/>
      <c r="I196" s="140">
        <v>15.762700000000001</v>
      </c>
      <c r="J196" s="136">
        <f t="shared" si="65"/>
        <v>11.215439999999999</v>
      </c>
      <c r="K196" s="136"/>
      <c r="L196" s="140">
        <v>11.215439999999999</v>
      </c>
      <c r="M196" s="132">
        <f t="shared" si="62"/>
        <v>71.1517696841277</v>
      </c>
      <c r="N196" s="13"/>
      <c r="O196" s="176" t="s">
        <v>198</v>
      </c>
      <c r="P196" s="178" t="s">
        <v>199</v>
      </c>
      <c r="Q196" s="179" t="s">
        <v>200</v>
      </c>
      <c r="R196" s="50"/>
    </row>
    <row r="197" spans="2:18" ht="124.5" customHeight="1" x14ac:dyDescent="0.25">
      <c r="B197" s="14"/>
      <c r="C197" s="28" t="s">
        <v>201</v>
      </c>
      <c r="D197" s="136">
        <f t="shared" si="63"/>
        <v>10.5158</v>
      </c>
      <c r="E197" s="147"/>
      <c r="F197" s="140">
        <v>10.5158</v>
      </c>
      <c r="G197" s="136">
        <f t="shared" si="64"/>
        <v>13.495799999999999</v>
      </c>
      <c r="H197" s="140"/>
      <c r="I197" s="140">
        <v>13.495799999999999</v>
      </c>
      <c r="J197" s="136">
        <f t="shared" si="65"/>
        <v>9.9643999999999995</v>
      </c>
      <c r="K197" s="136"/>
      <c r="L197" s="140">
        <v>9.9643999999999995</v>
      </c>
      <c r="M197" s="132">
        <f t="shared" si="62"/>
        <v>94.756461705243538</v>
      </c>
      <c r="N197" s="13"/>
      <c r="O197" s="176"/>
      <c r="P197" s="178"/>
      <c r="Q197" s="179"/>
      <c r="R197" s="50"/>
    </row>
    <row r="198" spans="2:18" ht="117" customHeight="1" x14ac:dyDescent="0.25">
      <c r="B198" s="14"/>
      <c r="C198" s="28" t="s">
        <v>202</v>
      </c>
      <c r="D198" s="136">
        <f t="shared" si="63"/>
        <v>37.522620000000003</v>
      </c>
      <c r="E198" s="136"/>
      <c r="F198" s="140">
        <v>37.522620000000003</v>
      </c>
      <c r="G198" s="136">
        <f t="shared" si="64"/>
        <v>41.598500000000001</v>
      </c>
      <c r="H198" s="147"/>
      <c r="I198" s="140">
        <v>41.598500000000001</v>
      </c>
      <c r="J198" s="136">
        <f t="shared" si="65"/>
        <v>37.522620000000003</v>
      </c>
      <c r="K198" s="136"/>
      <c r="L198" s="140">
        <v>37.522620000000003</v>
      </c>
      <c r="M198" s="201">
        <f t="shared" si="62"/>
        <v>100</v>
      </c>
      <c r="N198" s="201"/>
      <c r="O198" s="176" t="s">
        <v>203</v>
      </c>
      <c r="P198" s="178" t="s">
        <v>204</v>
      </c>
      <c r="Q198" s="35" t="s">
        <v>205</v>
      </c>
      <c r="R198" s="50"/>
    </row>
    <row r="199" spans="2:18" ht="76.5" x14ac:dyDescent="0.25">
      <c r="B199" s="14"/>
      <c r="C199" s="28" t="s">
        <v>206</v>
      </c>
      <c r="D199" s="136">
        <f t="shared" si="63"/>
        <v>0.62397999999999998</v>
      </c>
      <c r="E199" s="136"/>
      <c r="F199" s="140">
        <v>0.62397999999999998</v>
      </c>
      <c r="G199" s="136">
        <f t="shared" si="64"/>
        <v>0</v>
      </c>
      <c r="H199" s="147"/>
      <c r="I199" s="140"/>
      <c r="J199" s="136">
        <f t="shared" si="65"/>
        <v>0.62397999999999998</v>
      </c>
      <c r="K199" s="136"/>
      <c r="L199" s="140">
        <v>0.62397999999999998</v>
      </c>
      <c r="M199" s="201"/>
      <c r="N199" s="201"/>
      <c r="O199" s="176"/>
      <c r="P199" s="178"/>
      <c r="Q199" s="35" t="s">
        <v>603</v>
      </c>
      <c r="R199" s="50"/>
    </row>
    <row r="200" spans="2:18" ht="112.5" customHeight="1" x14ac:dyDescent="0.25">
      <c r="B200" s="14"/>
      <c r="C200" s="28" t="s">
        <v>207</v>
      </c>
      <c r="D200" s="136">
        <f t="shared" si="63"/>
        <v>19.290500000000002</v>
      </c>
      <c r="E200" s="136"/>
      <c r="F200" s="140">
        <v>19.290500000000002</v>
      </c>
      <c r="G200" s="136">
        <f t="shared" si="64"/>
        <v>22.564499999999999</v>
      </c>
      <c r="H200" s="147"/>
      <c r="I200" s="140">
        <v>22.564499999999999</v>
      </c>
      <c r="J200" s="136">
        <f t="shared" si="65"/>
        <v>19.290500000000002</v>
      </c>
      <c r="K200" s="136"/>
      <c r="L200" s="140">
        <v>19.290500000000002</v>
      </c>
      <c r="M200" s="132">
        <f t="shared" si="62"/>
        <v>100</v>
      </c>
      <c r="N200" s="13"/>
      <c r="O200" s="176" t="s">
        <v>198</v>
      </c>
      <c r="P200" s="178" t="s">
        <v>208</v>
      </c>
      <c r="Q200" s="211" t="s">
        <v>167</v>
      </c>
      <c r="R200" s="50"/>
    </row>
    <row r="201" spans="2:18" ht="132.75" customHeight="1" x14ac:dyDescent="0.25">
      <c r="B201" s="14"/>
      <c r="C201" s="28" t="s">
        <v>209</v>
      </c>
      <c r="D201" s="136">
        <f t="shared" si="63"/>
        <v>13.13519</v>
      </c>
      <c r="E201" s="136"/>
      <c r="F201" s="140">
        <v>13.13519</v>
      </c>
      <c r="G201" s="136">
        <f t="shared" si="64"/>
        <v>15.6243</v>
      </c>
      <c r="H201" s="147"/>
      <c r="I201" s="140">
        <v>15.6243</v>
      </c>
      <c r="J201" s="136">
        <f t="shared" si="65"/>
        <v>13.13519</v>
      </c>
      <c r="K201" s="136"/>
      <c r="L201" s="140">
        <v>13.13519</v>
      </c>
      <c r="M201" s="132">
        <f t="shared" si="62"/>
        <v>100</v>
      </c>
      <c r="N201" s="13"/>
      <c r="O201" s="176"/>
      <c r="P201" s="178"/>
      <c r="Q201" s="211"/>
      <c r="R201" s="50"/>
    </row>
    <row r="202" spans="2:18" ht="126.75" customHeight="1" x14ac:dyDescent="0.25">
      <c r="B202" s="14"/>
      <c r="C202" s="28" t="s">
        <v>210</v>
      </c>
      <c r="D202" s="136">
        <f t="shared" si="63"/>
        <v>2.2892700000000001</v>
      </c>
      <c r="E202" s="147"/>
      <c r="F202" s="140">
        <v>2.2892700000000001</v>
      </c>
      <c r="G202" s="136">
        <f t="shared" si="64"/>
        <v>28.223700000000001</v>
      </c>
      <c r="H202" s="147"/>
      <c r="I202" s="140">
        <v>28.223700000000001</v>
      </c>
      <c r="J202" s="136">
        <f t="shared" si="65"/>
        <v>2.2892700000000001</v>
      </c>
      <c r="K202" s="136"/>
      <c r="L202" s="140">
        <v>2.2892700000000001</v>
      </c>
      <c r="M202" s="132">
        <f t="shared" si="62"/>
        <v>100</v>
      </c>
      <c r="N202" s="13"/>
      <c r="O202" s="14" t="s">
        <v>198</v>
      </c>
      <c r="P202" s="95" t="s">
        <v>211</v>
      </c>
      <c r="Q202" s="93" t="s">
        <v>212</v>
      </c>
      <c r="R202" s="50" t="s">
        <v>213</v>
      </c>
    </row>
    <row r="203" spans="2:18" ht="127.5" customHeight="1" x14ac:dyDescent="0.25">
      <c r="B203" s="14"/>
      <c r="C203" s="28" t="s">
        <v>214</v>
      </c>
      <c r="D203" s="136">
        <f t="shared" si="63"/>
        <v>46.083179999999999</v>
      </c>
      <c r="E203" s="147"/>
      <c r="F203" s="140">
        <v>46.083179999999999</v>
      </c>
      <c r="G203" s="136">
        <f t="shared" si="64"/>
        <v>49.243299999999998</v>
      </c>
      <c r="H203" s="147"/>
      <c r="I203" s="140">
        <v>49.243299999999998</v>
      </c>
      <c r="J203" s="136">
        <f t="shared" si="65"/>
        <v>46.083179999999999</v>
      </c>
      <c r="K203" s="136"/>
      <c r="L203" s="140">
        <v>46.083179999999999</v>
      </c>
      <c r="M203" s="132">
        <f t="shared" si="62"/>
        <v>100</v>
      </c>
      <c r="N203" s="13"/>
      <c r="O203" s="14" t="s">
        <v>215</v>
      </c>
      <c r="P203" s="95" t="s">
        <v>216</v>
      </c>
      <c r="Q203" s="59" t="s">
        <v>217</v>
      </c>
      <c r="R203" s="50"/>
    </row>
    <row r="204" spans="2:18" ht="114.75" x14ac:dyDescent="0.25">
      <c r="B204" s="14"/>
      <c r="C204" s="28" t="s">
        <v>218</v>
      </c>
      <c r="D204" s="136">
        <f t="shared" si="63"/>
        <v>8.0821699999999996</v>
      </c>
      <c r="E204" s="147">
        <v>8.0821699999999996</v>
      </c>
      <c r="F204" s="140"/>
      <c r="G204" s="136">
        <f t="shared" si="64"/>
        <v>8.0821699999999996</v>
      </c>
      <c r="H204" s="147">
        <v>8.0821699999999996</v>
      </c>
      <c r="I204" s="147"/>
      <c r="J204" s="136">
        <f t="shared" si="65"/>
        <v>7.2899700000000003</v>
      </c>
      <c r="K204" s="136">
        <v>7.2899700000000003</v>
      </c>
      <c r="L204" s="140"/>
      <c r="M204" s="132">
        <f t="shared" si="62"/>
        <v>90.198176974748122</v>
      </c>
      <c r="N204" s="13"/>
      <c r="O204" s="14" t="s">
        <v>219</v>
      </c>
      <c r="P204" s="95" t="s">
        <v>220</v>
      </c>
      <c r="Q204" s="34" t="s">
        <v>221</v>
      </c>
      <c r="R204" s="12"/>
    </row>
    <row r="205" spans="2:18" ht="134.25" customHeight="1" x14ac:dyDescent="0.25">
      <c r="B205" s="14"/>
      <c r="C205" s="28" t="s">
        <v>222</v>
      </c>
      <c r="D205" s="136">
        <f t="shared" si="63"/>
        <v>2.5420199999999999</v>
      </c>
      <c r="E205" s="136">
        <v>2.5420199999999999</v>
      </c>
      <c r="F205" s="140"/>
      <c r="G205" s="136">
        <f t="shared" si="64"/>
        <v>2.5420199999999999</v>
      </c>
      <c r="H205" s="136">
        <v>2.5420199999999999</v>
      </c>
      <c r="I205" s="140"/>
      <c r="J205" s="136">
        <f t="shared" si="65"/>
        <v>2.5420199999999999</v>
      </c>
      <c r="K205" s="136">
        <v>2.5420199999999999</v>
      </c>
      <c r="L205" s="140"/>
      <c r="M205" s="132">
        <f t="shared" si="62"/>
        <v>100</v>
      </c>
      <c r="N205" s="13"/>
      <c r="O205" s="14" t="s">
        <v>223</v>
      </c>
      <c r="P205" s="94" t="s">
        <v>224</v>
      </c>
      <c r="Q205" s="34" t="s">
        <v>212</v>
      </c>
      <c r="R205" s="12"/>
    </row>
    <row r="206" spans="2:18" ht="140.25" x14ac:dyDescent="0.25">
      <c r="B206" s="14"/>
      <c r="C206" s="28" t="s">
        <v>225</v>
      </c>
      <c r="D206" s="136">
        <f t="shared" si="63"/>
        <v>32.506060000000005</v>
      </c>
      <c r="E206" s="136">
        <f>39.19637-6.69031</f>
        <v>32.506060000000005</v>
      </c>
      <c r="F206" s="140"/>
      <c r="G206" s="136">
        <f t="shared" si="64"/>
        <v>39.196370000000002</v>
      </c>
      <c r="H206" s="136">
        <v>39.196370000000002</v>
      </c>
      <c r="I206" s="140"/>
      <c r="J206" s="136">
        <f t="shared" si="65"/>
        <v>29.370049999999999</v>
      </c>
      <c r="K206" s="136">
        <v>29.370049999999999</v>
      </c>
      <c r="L206" s="140"/>
      <c r="M206" s="132">
        <f t="shared" si="62"/>
        <v>90.352537342267865</v>
      </c>
      <c r="N206" s="13"/>
      <c r="O206" s="14" t="s">
        <v>226</v>
      </c>
      <c r="P206" s="94" t="s">
        <v>227</v>
      </c>
      <c r="Q206" s="12" t="s">
        <v>228</v>
      </c>
      <c r="R206" s="12"/>
    </row>
    <row r="207" spans="2:18" ht="156.75" customHeight="1" x14ac:dyDescent="0.25">
      <c r="B207" s="14"/>
      <c r="C207" s="28" t="s">
        <v>229</v>
      </c>
      <c r="D207" s="136">
        <f t="shared" si="63"/>
        <v>10.04608</v>
      </c>
      <c r="E207" s="136">
        <v>10.04608</v>
      </c>
      <c r="F207" s="140"/>
      <c r="G207" s="136">
        <f t="shared" si="64"/>
        <v>14.699540000000001</v>
      </c>
      <c r="H207" s="136">
        <v>14.699540000000001</v>
      </c>
      <c r="I207" s="140"/>
      <c r="J207" s="136">
        <f t="shared" si="65"/>
        <v>10.04608</v>
      </c>
      <c r="K207" s="136">
        <v>10.04608</v>
      </c>
      <c r="L207" s="140"/>
      <c r="M207" s="132">
        <f t="shared" si="62"/>
        <v>100</v>
      </c>
      <c r="N207" s="13"/>
      <c r="O207" s="14" t="s">
        <v>226</v>
      </c>
      <c r="P207" s="94" t="s">
        <v>230</v>
      </c>
      <c r="Q207" s="12" t="s">
        <v>228</v>
      </c>
      <c r="R207" s="12"/>
    </row>
    <row r="208" spans="2:18" ht="143.25" customHeight="1" x14ac:dyDescent="0.25">
      <c r="B208" s="14"/>
      <c r="C208" s="61" t="s">
        <v>605</v>
      </c>
      <c r="D208" s="136">
        <f t="shared" si="63"/>
        <v>2.18811</v>
      </c>
      <c r="E208" s="136">
        <v>2.18811</v>
      </c>
      <c r="F208" s="140"/>
      <c r="G208" s="136">
        <f t="shared" si="64"/>
        <v>2.1890000000000001</v>
      </c>
      <c r="H208" s="136">
        <v>2.1890000000000001</v>
      </c>
      <c r="I208" s="140"/>
      <c r="J208" s="136">
        <f t="shared" si="65"/>
        <v>2.18811</v>
      </c>
      <c r="K208" s="136">
        <f>1.185+1.00311</f>
        <v>2.18811</v>
      </c>
      <c r="L208" s="140"/>
      <c r="M208" s="132">
        <f t="shared" si="62"/>
        <v>100</v>
      </c>
      <c r="N208" s="13"/>
      <c r="O208" s="14" t="s">
        <v>519</v>
      </c>
      <c r="P208" s="94" t="s">
        <v>386</v>
      </c>
      <c r="Q208" s="25" t="s">
        <v>385</v>
      </c>
      <c r="R208" s="12"/>
    </row>
    <row r="209" spans="2:21" ht="144.75" customHeight="1" x14ac:dyDescent="0.25">
      <c r="B209" s="14"/>
      <c r="C209" s="25" t="s">
        <v>387</v>
      </c>
      <c r="D209" s="136">
        <f t="shared" si="63"/>
        <v>1.0569500000000001</v>
      </c>
      <c r="E209" s="136">
        <v>1.0569500000000001</v>
      </c>
      <c r="F209" s="140"/>
      <c r="G209" s="136">
        <f t="shared" si="64"/>
        <v>1.0569500000000001</v>
      </c>
      <c r="H209" s="136">
        <v>1.0569500000000001</v>
      </c>
      <c r="I209" s="140"/>
      <c r="J209" s="136">
        <f t="shared" si="65"/>
        <v>1.0569500000000001</v>
      </c>
      <c r="K209" s="136">
        <v>1.0569500000000001</v>
      </c>
      <c r="L209" s="140"/>
      <c r="M209" s="132">
        <f t="shared" si="62"/>
        <v>100</v>
      </c>
      <c r="N209" s="13"/>
      <c r="O209" s="14" t="s">
        <v>520</v>
      </c>
      <c r="P209" s="94" t="s">
        <v>388</v>
      </c>
      <c r="Q209" s="34" t="s">
        <v>85</v>
      </c>
      <c r="R209" s="12"/>
    </row>
    <row r="210" spans="2:21" ht="222.75" customHeight="1" x14ac:dyDescent="0.25">
      <c r="B210" s="14"/>
      <c r="C210" s="25" t="s">
        <v>927</v>
      </c>
      <c r="D210" s="136">
        <f t="shared" si="63"/>
        <v>1.52441</v>
      </c>
      <c r="E210" s="136"/>
      <c r="F210" s="140">
        <v>1.52441</v>
      </c>
      <c r="G210" s="136">
        <f t="shared" si="64"/>
        <v>1.52441</v>
      </c>
      <c r="H210" s="136"/>
      <c r="I210" s="140">
        <v>1.52441</v>
      </c>
      <c r="J210" s="136">
        <f t="shared" si="65"/>
        <v>0.54549999999999998</v>
      </c>
      <c r="K210" s="136"/>
      <c r="L210" s="140">
        <v>0.54549999999999998</v>
      </c>
      <c r="M210" s="132">
        <f t="shared" si="62"/>
        <v>35.784336235002392</v>
      </c>
      <c r="N210" s="13"/>
      <c r="O210" s="14" t="s">
        <v>521</v>
      </c>
      <c r="P210" s="94" t="s">
        <v>405</v>
      </c>
      <c r="Q210" s="25" t="s">
        <v>158</v>
      </c>
      <c r="R210" s="12"/>
      <c r="S210" s="116"/>
      <c r="U210" s="116"/>
    </row>
    <row r="211" spans="2:21" ht="87.75" customHeight="1" x14ac:dyDescent="0.25">
      <c r="B211" s="14"/>
      <c r="C211" s="25" t="s">
        <v>406</v>
      </c>
      <c r="D211" s="136">
        <f t="shared" si="63"/>
        <v>2.60934</v>
      </c>
      <c r="E211" s="136">
        <v>2.60934</v>
      </c>
      <c r="F211" s="140"/>
      <c r="G211" s="136">
        <f t="shared" si="64"/>
        <v>2.8980000000000001</v>
      </c>
      <c r="H211" s="136">
        <v>2.8980000000000001</v>
      </c>
      <c r="I211" s="140"/>
      <c r="J211" s="136">
        <f t="shared" si="65"/>
        <v>2.60934</v>
      </c>
      <c r="K211" s="136">
        <v>2.60934</v>
      </c>
      <c r="L211" s="140"/>
      <c r="M211" s="132">
        <f t="shared" si="62"/>
        <v>100</v>
      </c>
      <c r="N211" s="13"/>
      <c r="O211" s="14" t="s">
        <v>522</v>
      </c>
      <c r="P211" s="94" t="s">
        <v>407</v>
      </c>
      <c r="Q211" s="25" t="s">
        <v>408</v>
      </c>
      <c r="R211" s="12"/>
    </row>
    <row r="212" spans="2:21" ht="78.75" customHeight="1" x14ac:dyDescent="0.25">
      <c r="B212" s="14"/>
      <c r="C212" s="25" t="s">
        <v>409</v>
      </c>
      <c r="D212" s="136">
        <f t="shared" si="63"/>
        <v>7.1771700000000003</v>
      </c>
      <c r="E212" s="136">
        <v>7.1771700000000003</v>
      </c>
      <c r="F212" s="140"/>
      <c r="G212" s="136">
        <f t="shared" si="64"/>
        <v>7.3023100000000003</v>
      </c>
      <c r="H212" s="136">
        <v>7.3023100000000003</v>
      </c>
      <c r="I212" s="140"/>
      <c r="J212" s="136">
        <f t="shared" si="65"/>
        <v>7.1771700000000003</v>
      </c>
      <c r="K212" s="136">
        <v>7.1771700000000003</v>
      </c>
      <c r="L212" s="140"/>
      <c r="M212" s="132">
        <f t="shared" si="62"/>
        <v>100</v>
      </c>
      <c r="N212" s="13"/>
      <c r="O212" s="14" t="s">
        <v>523</v>
      </c>
      <c r="P212" s="94" t="s">
        <v>410</v>
      </c>
      <c r="Q212" s="34" t="s">
        <v>411</v>
      </c>
      <c r="R212" s="12"/>
    </row>
    <row r="213" spans="2:21" ht="182.25" customHeight="1" x14ac:dyDescent="0.25">
      <c r="B213" s="14"/>
      <c r="C213" s="25" t="s">
        <v>500</v>
      </c>
      <c r="D213" s="136">
        <f t="shared" si="63"/>
        <v>7.5960299999999998</v>
      </c>
      <c r="E213" s="136"/>
      <c r="F213" s="140">
        <v>7.5960299999999998</v>
      </c>
      <c r="G213" s="136">
        <f t="shared" si="64"/>
        <v>7.5960299999999998</v>
      </c>
      <c r="H213" s="136"/>
      <c r="I213" s="140">
        <v>7.5960299999999998</v>
      </c>
      <c r="J213" s="136">
        <f t="shared" si="65"/>
        <v>7.5960299999999998</v>
      </c>
      <c r="K213" s="136"/>
      <c r="L213" s="140">
        <v>7.5960299999999998</v>
      </c>
      <c r="M213" s="132">
        <f t="shared" si="62"/>
        <v>100</v>
      </c>
      <c r="N213" s="13"/>
      <c r="O213" s="14" t="s">
        <v>108</v>
      </c>
      <c r="P213" s="94" t="s">
        <v>138</v>
      </c>
      <c r="Q213" s="34" t="s">
        <v>389</v>
      </c>
      <c r="R213" s="12"/>
    </row>
    <row r="214" spans="2:21" ht="144" customHeight="1" x14ac:dyDescent="0.25">
      <c r="B214" s="14"/>
      <c r="C214" s="25" t="s">
        <v>816</v>
      </c>
      <c r="D214" s="136">
        <f t="shared" si="63"/>
        <v>1.1000000000000001</v>
      </c>
      <c r="E214" s="136">
        <v>1.1000000000000001</v>
      </c>
      <c r="F214" s="140"/>
      <c r="G214" s="136">
        <f t="shared" si="64"/>
        <v>1.1000000000000001</v>
      </c>
      <c r="H214" s="136">
        <v>1.1000000000000001</v>
      </c>
      <c r="I214" s="140"/>
      <c r="J214" s="136">
        <f t="shared" si="65"/>
        <v>1.1000000000000001</v>
      </c>
      <c r="K214" s="136">
        <v>1.1000000000000001</v>
      </c>
      <c r="L214" s="140"/>
      <c r="M214" s="132">
        <f t="shared" si="62"/>
        <v>100</v>
      </c>
      <c r="N214" s="13"/>
      <c r="O214" s="14" t="s">
        <v>524</v>
      </c>
      <c r="P214" s="94" t="s">
        <v>453</v>
      </c>
      <c r="Q214" s="25" t="s">
        <v>395</v>
      </c>
      <c r="R214" s="12"/>
    </row>
    <row r="215" spans="2:21" ht="180" customHeight="1" x14ac:dyDescent="0.25">
      <c r="B215" s="14"/>
      <c r="C215" s="25" t="s">
        <v>815</v>
      </c>
      <c r="D215" s="136">
        <f t="shared" si="63"/>
        <v>21.293659999999999</v>
      </c>
      <c r="E215" s="136">
        <v>21.293659999999999</v>
      </c>
      <c r="F215" s="140"/>
      <c r="G215" s="136">
        <f t="shared" si="64"/>
        <v>21.293659999999999</v>
      </c>
      <c r="H215" s="136">
        <v>21.293659999999999</v>
      </c>
      <c r="I215" s="140"/>
      <c r="J215" s="136">
        <f t="shared" si="65"/>
        <v>21.293659999999999</v>
      </c>
      <c r="K215" s="136">
        <v>21.293659999999999</v>
      </c>
      <c r="L215" s="140"/>
      <c r="M215" s="132">
        <f t="shared" si="62"/>
        <v>100</v>
      </c>
      <c r="N215" s="13"/>
      <c r="O215" s="14" t="s">
        <v>525</v>
      </c>
      <c r="P215" s="94" t="s">
        <v>454</v>
      </c>
      <c r="Q215" s="34" t="s">
        <v>85</v>
      </c>
      <c r="R215" s="12"/>
    </row>
    <row r="216" spans="2:21" ht="102" x14ac:dyDescent="0.25">
      <c r="B216" s="14"/>
      <c r="C216" s="25" t="s">
        <v>455</v>
      </c>
      <c r="D216" s="136">
        <f t="shared" si="63"/>
        <v>49.90448</v>
      </c>
      <c r="E216" s="136">
        <v>49.90448</v>
      </c>
      <c r="F216" s="140"/>
      <c r="G216" s="136">
        <f t="shared" si="64"/>
        <v>55.182099999999998</v>
      </c>
      <c r="H216" s="136">
        <v>55.182099999999998</v>
      </c>
      <c r="I216" s="140"/>
      <c r="J216" s="136">
        <f t="shared" si="65"/>
        <v>49.90448</v>
      </c>
      <c r="K216" s="136">
        <f>36.373+11.036+2.49548</f>
        <v>49.90448</v>
      </c>
      <c r="L216" s="140"/>
      <c r="M216" s="132">
        <f t="shared" si="62"/>
        <v>100</v>
      </c>
      <c r="N216" s="13"/>
      <c r="O216" s="14" t="s">
        <v>526</v>
      </c>
      <c r="P216" s="94" t="s">
        <v>456</v>
      </c>
      <c r="Q216" s="34" t="s">
        <v>291</v>
      </c>
      <c r="R216" s="12"/>
    </row>
    <row r="217" spans="2:21" ht="114.75" x14ac:dyDescent="0.25">
      <c r="B217" s="14"/>
      <c r="C217" s="25" t="s">
        <v>527</v>
      </c>
      <c r="D217" s="136">
        <f t="shared" si="63"/>
        <v>3.7214900000000002</v>
      </c>
      <c r="E217" s="136">
        <v>3.7214900000000002</v>
      </c>
      <c r="F217" s="140"/>
      <c r="G217" s="136">
        <f t="shared" si="64"/>
        <v>3.9</v>
      </c>
      <c r="H217" s="136">
        <v>3.9</v>
      </c>
      <c r="I217" s="140"/>
      <c r="J217" s="136">
        <f t="shared" si="65"/>
        <v>3.7214900000000002</v>
      </c>
      <c r="K217" s="136">
        <v>3.7214900000000002</v>
      </c>
      <c r="L217" s="140"/>
      <c r="M217" s="132">
        <f t="shared" si="62"/>
        <v>100</v>
      </c>
      <c r="N217" s="13"/>
      <c r="O217" s="14" t="s">
        <v>513</v>
      </c>
      <c r="P217" s="94" t="s">
        <v>240</v>
      </c>
      <c r="Q217" s="34" t="s">
        <v>528</v>
      </c>
      <c r="R217" s="12"/>
    </row>
    <row r="218" spans="2:21" ht="83.25" customHeight="1" x14ac:dyDescent="0.25">
      <c r="B218" s="14"/>
      <c r="C218" s="25" t="s">
        <v>531</v>
      </c>
      <c r="D218" s="136">
        <f t="shared" si="63"/>
        <v>32.4</v>
      </c>
      <c r="E218" s="136">
        <v>32.4</v>
      </c>
      <c r="F218" s="140"/>
      <c r="G218" s="136">
        <f t="shared" si="64"/>
        <v>34</v>
      </c>
      <c r="H218" s="136">
        <v>34</v>
      </c>
      <c r="I218" s="140"/>
      <c r="J218" s="136">
        <f t="shared" si="65"/>
        <v>32.4</v>
      </c>
      <c r="K218" s="136">
        <v>32.4</v>
      </c>
      <c r="L218" s="140"/>
      <c r="M218" s="132">
        <f t="shared" si="62"/>
        <v>99.999999999999986</v>
      </c>
      <c r="N218" s="13"/>
      <c r="O218" s="14" t="s">
        <v>529</v>
      </c>
      <c r="P218" s="94" t="s">
        <v>457</v>
      </c>
      <c r="Q218" s="40" t="s">
        <v>530</v>
      </c>
      <c r="R218" s="12"/>
    </row>
    <row r="219" spans="2:21" ht="298.5" customHeight="1" x14ac:dyDescent="0.25">
      <c r="B219" s="14"/>
      <c r="C219" s="39" t="s">
        <v>727</v>
      </c>
      <c r="D219" s="136">
        <f t="shared" si="63"/>
        <v>87.80574</v>
      </c>
      <c r="E219" s="136">
        <v>87.80574</v>
      </c>
      <c r="F219" s="140"/>
      <c r="G219" s="136">
        <f t="shared" si="64"/>
        <v>91.227429999999998</v>
      </c>
      <c r="H219" s="136">
        <v>91.227429999999998</v>
      </c>
      <c r="I219" s="140"/>
      <c r="J219" s="136">
        <f t="shared" si="65"/>
        <v>87.80574</v>
      </c>
      <c r="K219" s="136"/>
      <c r="L219" s="140">
        <f>62.42289+25.38285</f>
        <v>87.80574</v>
      </c>
      <c r="M219" s="132">
        <f t="shared" si="62"/>
        <v>100</v>
      </c>
      <c r="N219" s="13"/>
      <c r="O219" s="14" t="s">
        <v>532</v>
      </c>
      <c r="P219" s="94" t="s">
        <v>472</v>
      </c>
      <c r="Q219" s="40" t="s">
        <v>533</v>
      </c>
      <c r="R219" s="12"/>
    </row>
    <row r="220" spans="2:21" ht="165.75" customHeight="1" x14ac:dyDescent="0.25">
      <c r="B220" s="14"/>
      <c r="C220" s="25" t="s">
        <v>808</v>
      </c>
      <c r="D220" s="136">
        <f t="shared" si="63"/>
        <v>447.89843999999999</v>
      </c>
      <c r="E220" s="136"/>
      <c r="F220" s="140">
        <v>447.89843999999999</v>
      </c>
      <c r="G220" s="136">
        <f t="shared" si="64"/>
        <v>447.89843999999999</v>
      </c>
      <c r="H220" s="136"/>
      <c r="I220" s="140">
        <v>447.89843999999999</v>
      </c>
      <c r="J220" s="136">
        <f t="shared" si="65"/>
        <v>447.89843999999999</v>
      </c>
      <c r="K220" s="136"/>
      <c r="L220" s="140">
        <f>72.32873+89.578+204.77096+57.06855+23.2564+0.8958</f>
        <v>447.89843999999999</v>
      </c>
      <c r="M220" s="132">
        <f t="shared" si="62"/>
        <v>100</v>
      </c>
      <c r="N220" s="13"/>
      <c r="O220" s="14" t="s">
        <v>809</v>
      </c>
      <c r="P220" s="94" t="s">
        <v>296</v>
      </c>
      <c r="Q220" s="34" t="s">
        <v>291</v>
      </c>
      <c r="R220" s="12"/>
    </row>
    <row r="221" spans="2:21" ht="164.25" customHeight="1" x14ac:dyDescent="0.25">
      <c r="B221" s="14"/>
      <c r="C221" s="25" t="s">
        <v>811</v>
      </c>
      <c r="D221" s="136">
        <f t="shared" si="63"/>
        <v>74.054450000000003</v>
      </c>
      <c r="E221" s="136">
        <v>74.054450000000003</v>
      </c>
      <c r="F221" s="140"/>
      <c r="G221" s="136">
        <f t="shared" si="64"/>
        <v>74.054450000000003</v>
      </c>
      <c r="H221" s="136">
        <v>74.054450000000003</v>
      </c>
      <c r="I221" s="140"/>
      <c r="J221" s="136">
        <f t="shared" si="65"/>
        <v>74.054450000000003</v>
      </c>
      <c r="K221" s="136">
        <f>25.25793+29.215+5.38367+11.06059+2.76699+0.37027</f>
        <v>74.054450000000003</v>
      </c>
      <c r="L221" s="140"/>
      <c r="M221" s="132">
        <f>J221/D221%</f>
        <v>100</v>
      </c>
      <c r="N221" s="13"/>
      <c r="O221" s="14" t="s">
        <v>922</v>
      </c>
      <c r="P221" s="94" t="s">
        <v>670</v>
      </c>
      <c r="Q221" s="34" t="s">
        <v>291</v>
      </c>
      <c r="R221" s="12"/>
    </row>
    <row r="222" spans="2:21" ht="165.75" x14ac:dyDescent="0.25">
      <c r="B222" s="14"/>
      <c r="C222" s="25" t="s">
        <v>804</v>
      </c>
      <c r="D222" s="136">
        <f t="shared" ref="D222:D229" si="66">E222+F222</f>
        <v>1123.9835499999999</v>
      </c>
      <c r="E222" s="136"/>
      <c r="F222" s="140">
        <v>1123.9835499999999</v>
      </c>
      <c r="G222" s="136">
        <f t="shared" ref="G222:G229" si="67">H222+I222</f>
        <v>1123.9835499999999</v>
      </c>
      <c r="H222" s="136"/>
      <c r="I222" s="140">
        <v>1123.9835499999999</v>
      </c>
      <c r="J222" s="136">
        <f t="shared" ref="J222:J229" si="68">K222+L222</f>
        <v>1048.5748000000001</v>
      </c>
      <c r="K222" s="136"/>
      <c r="L222" s="140">
        <f>83.73874+449.593+244.76404+67.60403+46.43196+81.8449+74.59813</f>
        <v>1048.5748000000001</v>
      </c>
      <c r="M222" s="132">
        <f t="shared" si="62"/>
        <v>93.290938288198262</v>
      </c>
      <c r="N222" s="13"/>
      <c r="O222" s="14" t="s">
        <v>805</v>
      </c>
      <c r="P222" s="94" t="s">
        <v>671</v>
      </c>
      <c r="Q222" s="34" t="s">
        <v>291</v>
      </c>
      <c r="R222" s="12"/>
    </row>
    <row r="223" spans="2:21" ht="232.5" customHeight="1" x14ac:dyDescent="0.25">
      <c r="B223" s="14"/>
      <c r="C223" s="25" t="s">
        <v>807</v>
      </c>
      <c r="D223" s="136">
        <f t="shared" si="66"/>
        <v>200</v>
      </c>
      <c r="E223" s="136"/>
      <c r="F223" s="140">
        <v>200</v>
      </c>
      <c r="G223" s="136">
        <f t="shared" si="67"/>
        <v>436.47789999999998</v>
      </c>
      <c r="H223" s="136"/>
      <c r="I223" s="140">
        <v>436.47789999999998</v>
      </c>
      <c r="J223" s="136">
        <f t="shared" si="68"/>
        <v>50</v>
      </c>
      <c r="K223" s="136"/>
      <c r="L223" s="140">
        <v>50</v>
      </c>
      <c r="M223" s="132">
        <f t="shared" si="62"/>
        <v>25</v>
      </c>
      <c r="N223" s="13"/>
      <c r="O223" s="14" t="s">
        <v>806</v>
      </c>
      <c r="P223" s="94" t="s">
        <v>673</v>
      </c>
      <c r="Q223" s="25" t="s">
        <v>672</v>
      </c>
      <c r="R223" s="12"/>
    </row>
    <row r="224" spans="2:21" ht="229.5" x14ac:dyDescent="0.25">
      <c r="B224" s="14"/>
      <c r="C224" s="25" t="s">
        <v>928</v>
      </c>
      <c r="D224" s="136">
        <f t="shared" si="66"/>
        <v>20.46002</v>
      </c>
      <c r="E224" s="136">
        <v>20.46002</v>
      </c>
      <c r="F224" s="140"/>
      <c r="G224" s="136">
        <f t="shared" si="67"/>
        <v>0</v>
      </c>
      <c r="H224" s="136"/>
      <c r="I224" s="140"/>
      <c r="J224" s="136">
        <f t="shared" si="68"/>
        <v>20.46002</v>
      </c>
      <c r="K224" s="136">
        <v>20.46002</v>
      </c>
      <c r="L224" s="140"/>
      <c r="M224" s="132">
        <f t="shared" si="62"/>
        <v>100</v>
      </c>
      <c r="N224" s="13"/>
      <c r="O224" s="14" t="s">
        <v>918</v>
      </c>
      <c r="P224" s="94" t="s">
        <v>674</v>
      </c>
      <c r="Q224" s="34" t="s">
        <v>675</v>
      </c>
      <c r="R224" s="12"/>
    </row>
    <row r="225" spans="2:19" ht="102" customHeight="1" x14ac:dyDescent="0.25">
      <c r="B225" s="14"/>
      <c r="C225" s="25" t="s">
        <v>728</v>
      </c>
      <c r="D225" s="136">
        <f t="shared" si="66"/>
        <v>7.5668100000000003</v>
      </c>
      <c r="E225" s="136">
        <v>7.5668100000000003</v>
      </c>
      <c r="F225" s="140"/>
      <c r="G225" s="136">
        <f t="shared" si="67"/>
        <v>7.5668100000000003</v>
      </c>
      <c r="H225" s="136">
        <v>7.5668100000000003</v>
      </c>
      <c r="I225" s="140"/>
      <c r="J225" s="136">
        <f t="shared" si="68"/>
        <v>7.5668100000000003</v>
      </c>
      <c r="K225" s="136">
        <v>7.5668100000000003</v>
      </c>
      <c r="L225" s="140"/>
      <c r="M225" s="132">
        <f t="shared" si="62"/>
        <v>100</v>
      </c>
      <c r="N225" s="13"/>
      <c r="O225" s="14" t="s">
        <v>810</v>
      </c>
      <c r="P225" s="94" t="s">
        <v>729</v>
      </c>
      <c r="Q225" s="34" t="s">
        <v>730</v>
      </c>
      <c r="R225" s="12"/>
    </row>
    <row r="226" spans="2:19" ht="322.5" hidden="1" customHeight="1" x14ac:dyDescent="0.25">
      <c r="B226" s="14"/>
      <c r="C226" s="39" t="s">
        <v>814</v>
      </c>
      <c r="D226" s="136">
        <f t="shared" si="66"/>
        <v>0</v>
      </c>
      <c r="E226" s="136"/>
      <c r="F226" s="140"/>
      <c r="G226" s="136">
        <f t="shared" si="67"/>
        <v>13.87293</v>
      </c>
      <c r="H226" s="136">
        <v>13.87293</v>
      </c>
      <c r="I226" s="140"/>
      <c r="J226" s="136">
        <f t="shared" si="68"/>
        <v>0</v>
      </c>
      <c r="K226" s="136"/>
      <c r="L226" s="140"/>
      <c r="M226" s="132" t="e">
        <f t="shared" si="62"/>
        <v>#DIV/0!</v>
      </c>
      <c r="N226" s="13"/>
      <c r="O226" s="14" t="s">
        <v>813</v>
      </c>
      <c r="P226" s="94" t="s">
        <v>731</v>
      </c>
      <c r="Q226" s="34" t="s">
        <v>812</v>
      </c>
      <c r="R226" s="12"/>
    </row>
    <row r="227" spans="2:19" ht="12.75" hidden="1" x14ac:dyDescent="0.25">
      <c r="B227" s="14"/>
      <c r="C227" s="28"/>
      <c r="D227" s="136">
        <f t="shared" si="66"/>
        <v>0</v>
      </c>
      <c r="E227" s="136"/>
      <c r="F227" s="140"/>
      <c r="G227" s="136">
        <f t="shared" si="67"/>
        <v>0</v>
      </c>
      <c r="H227" s="136"/>
      <c r="I227" s="140"/>
      <c r="J227" s="136">
        <f t="shared" si="68"/>
        <v>0</v>
      </c>
      <c r="K227" s="136"/>
      <c r="L227" s="140"/>
      <c r="M227" s="132" t="e">
        <f t="shared" si="62"/>
        <v>#DIV/0!</v>
      </c>
      <c r="N227" s="13"/>
      <c r="O227" s="14"/>
      <c r="P227" s="94"/>
      <c r="Q227" s="34"/>
      <c r="R227" s="12"/>
    </row>
    <row r="228" spans="2:19" ht="12.75" hidden="1" x14ac:dyDescent="0.25">
      <c r="B228" s="14"/>
      <c r="C228" s="28"/>
      <c r="D228" s="136">
        <f t="shared" si="66"/>
        <v>0</v>
      </c>
      <c r="E228" s="136"/>
      <c r="F228" s="140"/>
      <c r="G228" s="136">
        <f t="shared" si="67"/>
        <v>0</v>
      </c>
      <c r="H228" s="136"/>
      <c r="I228" s="140"/>
      <c r="J228" s="136">
        <f t="shared" si="68"/>
        <v>0</v>
      </c>
      <c r="K228" s="136"/>
      <c r="L228" s="140"/>
      <c r="M228" s="132" t="e">
        <f t="shared" si="62"/>
        <v>#DIV/0!</v>
      </c>
      <c r="N228" s="13"/>
      <c r="O228" s="14"/>
      <c r="P228" s="94"/>
      <c r="Q228" s="34"/>
      <c r="R228" s="12"/>
    </row>
    <row r="229" spans="2:19" ht="12.75" hidden="1" x14ac:dyDescent="0.25">
      <c r="B229" s="14"/>
      <c r="C229" s="28"/>
      <c r="D229" s="136">
        <f t="shared" si="66"/>
        <v>0</v>
      </c>
      <c r="E229" s="136"/>
      <c r="F229" s="140"/>
      <c r="G229" s="136">
        <f t="shared" si="67"/>
        <v>0</v>
      </c>
      <c r="H229" s="136"/>
      <c r="I229" s="140"/>
      <c r="J229" s="136">
        <f t="shared" si="68"/>
        <v>0</v>
      </c>
      <c r="K229" s="136"/>
      <c r="L229" s="140"/>
      <c r="M229" s="132" t="e">
        <f t="shared" si="62"/>
        <v>#DIV/0!</v>
      </c>
      <c r="N229" s="13"/>
      <c r="O229" s="14"/>
      <c r="P229" s="94"/>
      <c r="Q229" s="34"/>
      <c r="R229" s="12"/>
    </row>
    <row r="230" spans="2:19" ht="23.25" customHeight="1" x14ac:dyDescent="0.25">
      <c r="B230" s="14"/>
      <c r="C230" s="28" t="s">
        <v>878</v>
      </c>
      <c r="D230" s="136"/>
      <c r="E230" s="136"/>
      <c r="F230" s="140">
        <v>32.315919999999998</v>
      </c>
      <c r="G230" s="136"/>
      <c r="H230" s="136"/>
      <c r="I230" s="140"/>
      <c r="J230" s="136"/>
      <c r="K230" s="136"/>
      <c r="L230" s="140"/>
      <c r="M230" s="132"/>
      <c r="N230" s="13"/>
      <c r="O230" s="14"/>
      <c r="P230" s="94"/>
      <c r="Q230" s="34"/>
      <c r="R230" s="12"/>
    </row>
    <row r="231" spans="2:19" ht="23.25" customHeight="1" x14ac:dyDescent="0.25">
      <c r="B231" s="14"/>
      <c r="C231" s="28" t="s">
        <v>879</v>
      </c>
      <c r="D231" s="136"/>
      <c r="E231" s="136"/>
      <c r="F231" s="140">
        <v>339.10597999999999</v>
      </c>
      <c r="G231" s="136"/>
      <c r="H231" s="136"/>
      <c r="I231" s="140"/>
      <c r="J231" s="136"/>
      <c r="K231" s="136"/>
      <c r="L231" s="140"/>
      <c r="M231" s="132"/>
      <c r="N231" s="13"/>
      <c r="O231" s="14"/>
      <c r="P231" s="94"/>
      <c r="Q231" s="34"/>
      <c r="R231" s="12"/>
    </row>
    <row r="232" spans="2:19" ht="12.75" x14ac:dyDescent="0.25">
      <c r="B232" s="17"/>
      <c r="C232" s="27" t="s">
        <v>19</v>
      </c>
      <c r="D232" s="136">
        <f t="shared" si="63"/>
        <v>3013.1606999999999</v>
      </c>
      <c r="E232" s="140">
        <f>SUM(E172:E230)</f>
        <v>468.07153999999997</v>
      </c>
      <c r="F232" s="140">
        <f>SUM(F172:F231)</f>
        <v>2545.08916</v>
      </c>
      <c r="G232" s="136">
        <f t="shared" si="64"/>
        <v>3030.5079499999997</v>
      </c>
      <c r="H232" s="140">
        <f>SUM(H172:H230)</f>
        <v>577.91820999999993</v>
      </c>
      <c r="I232" s="140">
        <f>SUM(I172:I230)</f>
        <v>2452.5897399999999</v>
      </c>
      <c r="J232" s="136">
        <f t="shared" si="65"/>
        <v>2360.14347</v>
      </c>
      <c r="K232" s="140">
        <f>SUM(K172:K230)</f>
        <v>372.77235999999988</v>
      </c>
      <c r="L232" s="140">
        <f>SUM(L172:L230)</f>
        <v>1987.37111</v>
      </c>
      <c r="M232" s="132">
        <f t="shared" si="62"/>
        <v>78.32783263103093</v>
      </c>
      <c r="N232" s="13"/>
      <c r="O232" s="17"/>
      <c r="P232" s="54"/>
      <c r="Q232" s="54"/>
      <c r="R232" s="12"/>
      <c r="S232" s="116"/>
    </row>
    <row r="233" spans="2:19" ht="25.5" x14ac:dyDescent="0.25">
      <c r="B233" s="17" t="s">
        <v>231</v>
      </c>
      <c r="C233" s="4" t="s">
        <v>232</v>
      </c>
      <c r="D233" s="136"/>
      <c r="E233" s="140"/>
      <c r="F233" s="140"/>
      <c r="G233" s="136"/>
      <c r="H233" s="140"/>
      <c r="I233" s="140"/>
      <c r="J233" s="136"/>
      <c r="K233" s="140"/>
      <c r="L233" s="140"/>
      <c r="M233" s="132"/>
      <c r="N233" s="13"/>
      <c r="O233" s="14"/>
      <c r="P233" s="22"/>
      <c r="Q233" s="23"/>
      <c r="R233" s="12"/>
    </row>
    <row r="234" spans="2:19" ht="71.25" customHeight="1" x14ac:dyDescent="0.25">
      <c r="B234" s="17" t="s">
        <v>233</v>
      </c>
      <c r="C234" s="4" t="s">
        <v>234</v>
      </c>
      <c r="D234" s="136"/>
      <c r="E234" s="135"/>
      <c r="F234" s="135"/>
      <c r="G234" s="136"/>
      <c r="H234" s="136"/>
      <c r="I234" s="137"/>
      <c r="J234" s="136"/>
      <c r="K234" s="136"/>
      <c r="L234" s="136"/>
      <c r="M234" s="132"/>
      <c r="N234" s="13"/>
      <c r="O234" s="10"/>
      <c r="P234" s="11"/>
      <c r="Q234" s="10"/>
      <c r="R234" s="12"/>
    </row>
    <row r="235" spans="2:19" ht="94.5" customHeight="1" x14ac:dyDescent="0.25">
      <c r="B235" s="14"/>
      <c r="C235" s="28" t="s">
        <v>235</v>
      </c>
      <c r="D235" s="136">
        <f t="shared" si="63"/>
        <v>0.68500000000000005</v>
      </c>
      <c r="E235" s="136">
        <v>0.68500000000000005</v>
      </c>
      <c r="F235" s="136"/>
      <c r="G235" s="136">
        <f t="shared" si="64"/>
        <v>0.68500000000000005</v>
      </c>
      <c r="H235" s="135">
        <v>0.68500000000000005</v>
      </c>
      <c r="I235" s="136"/>
      <c r="J235" s="136">
        <f t="shared" si="65"/>
        <v>0.68500000000000005</v>
      </c>
      <c r="K235" s="135">
        <v>0.68500000000000005</v>
      </c>
      <c r="L235" s="140"/>
      <c r="M235" s="132">
        <f t="shared" si="62"/>
        <v>100</v>
      </c>
      <c r="N235" s="13"/>
      <c r="O235" s="62" t="s">
        <v>236</v>
      </c>
      <c r="P235" s="95">
        <v>23</v>
      </c>
      <c r="Q235" s="34" t="s">
        <v>237</v>
      </c>
      <c r="R235" s="26"/>
    </row>
    <row r="236" spans="2:19" ht="150" customHeight="1" x14ac:dyDescent="0.25">
      <c r="B236" s="14"/>
      <c r="C236" s="63" t="s">
        <v>238</v>
      </c>
      <c r="D236" s="136">
        <f t="shared" si="63"/>
        <v>2.4420000000000002</v>
      </c>
      <c r="E236" s="140">
        <v>2.4420000000000002</v>
      </c>
      <c r="F236" s="140"/>
      <c r="G236" s="136">
        <f t="shared" si="64"/>
        <v>2.4420000000000002</v>
      </c>
      <c r="H236" s="140">
        <v>2.4420000000000002</v>
      </c>
      <c r="I236" s="142"/>
      <c r="J236" s="136">
        <f t="shared" si="65"/>
        <v>2.4414699999999998</v>
      </c>
      <c r="K236" s="147">
        <v>2.4414699999999998</v>
      </c>
      <c r="L236" s="140"/>
      <c r="M236" s="132">
        <f t="shared" si="62"/>
        <v>99.978296478296471</v>
      </c>
      <c r="N236" s="13"/>
      <c r="O236" s="14" t="s">
        <v>239</v>
      </c>
      <c r="P236" s="95" t="s">
        <v>240</v>
      </c>
      <c r="Q236" s="96" t="s">
        <v>241</v>
      </c>
      <c r="R236" s="12"/>
    </row>
    <row r="237" spans="2:19" ht="114.75" customHeight="1" x14ac:dyDescent="0.25">
      <c r="B237" s="14"/>
      <c r="C237" s="63" t="s">
        <v>242</v>
      </c>
      <c r="D237" s="136">
        <f t="shared" si="63"/>
        <v>5</v>
      </c>
      <c r="E237" s="140">
        <v>5</v>
      </c>
      <c r="F237" s="140"/>
      <c r="G237" s="136">
        <f t="shared" si="64"/>
        <v>5</v>
      </c>
      <c r="H237" s="140">
        <v>5</v>
      </c>
      <c r="I237" s="142"/>
      <c r="J237" s="136">
        <f t="shared" si="65"/>
        <v>2.25</v>
      </c>
      <c r="K237" s="147">
        <f>0.2+0.05+0.2+0.55+1.25</f>
        <v>2.25</v>
      </c>
      <c r="L237" s="140"/>
      <c r="M237" s="132">
        <f t="shared" si="62"/>
        <v>45</v>
      </c>
      <c r="N237" s="13"/>
      <c r="O237" s="14" t="s">
        <v>119</v>
      </c>
      <c r="P237" s="95" t="s">
        <v>243</v>
      </c>
      <c r="Q237" s="64" t="s">
        <v>244</v>
      </c>
      <c r="R237" s="12"/>
    </row>
    <row r="238" spans="2:19" ht="25.5" hidden="1" x14ac:dyDescent="0.25">
      <c r="B238" s="14"/>
      <c r="C238" s="96" t="s">
        <v>245</v>
      </c>
      <c r="D238" s="136">
        <f t="shared" si="63"/>
        <v>0</v>
      </c>
      <c r="E238" s="140"/>
      <c r="F238" s="140"/>
      <c r="G238" s="136">
        <f t="shared" si="64"/>
        <v>33.5779</v>
      </c>
      <c r="H238" s="140"/>
      <c r="I238" s="140">
        <v>33.5779</v>
      </c>
      <c r="J238" s="136">
        <f t="shared" si="65"/>
        <v>0</v>
      </c>
      <c r="K238" s="147"/>
      <c r="L238" s="140"/>
      <c r="M238" s="132" t="e">
        <f t="shared" si="62"/>
        <v>#DIV/0!</v>
      </c>
      <c r="N238" s="13"/>
      <c r="O238" s="14"/>
      <c r="P238" s="95"/>
      <c r="Q238" s="96"/>
      <c r="R238" s="12"/>
    </row>
    <row r="239" spans="2:19" ht="133.5" customHeight="1" x14ac:dyDescent="0.25">
      <c r="B239" s="14"/>
      <c r="C239" s="39" t="s">
        <v>536</v>
      </c>
      <c r="D239" s="136">
        <f t="shared" si="63"/>
        <v>4</v>
      </c>
      <c r="E239" s="140">
        <v>4</v>
      </c>
      <c r="F239" s="140"/>
      <c r="G239" s="136">
        <f t="shared" si="64"/>
        <v>4</v>
      </c>
      <c r="H239" s="140">
        <v>4</v>
      </c>
      <c r="I239" s="142"/>
      <c r="J239" s="136">
        <f t="shared" si="65"/>
        <v>0</v>
      </c>
      <c r="K239" s="147"/>
      <c r="L239" s="140"/>
      <c r="M239" s="132">
        <f t="shared" si="62"/>
        <v>0</v>
      </c>
      <c r="N239" s="13"/>
      <c r="O239" s="14" t="s">
        <v>535</v>
      </c>
      <c r="P239" s="95" t="s">
        <v>458</v>
      </c>
      <c r="Q239" s="96" t="s">
        <v>534</v>
      </c>
      <c r="R239" s="12"/>
    </row>
    <row r="240" spans="2:19" ht="147.75" customHeight="1" x14ac:dyDescent="0.25">
      <c r="B240" s="14"/>
      <c r="C240" s="39" t="s">
        <v>676</v>
      </c>
      <c r="D240" s="136">
        <f t="shared" si="63"/>
        <v>3</v>
      </c>
      <c r="E240" s="140">
        <v>3</v>
      </c>
      <c r="F240" s="140"/>
      <c r="G240" s="136">
        <f t="shared" si="64"/>
        <v>0</v>
      </c>
      <c r="H240" s="140"/>
      <c r="I240" s="142"/>
      <c r="J240" s="136">
        <f t="shared" si="65"/>
        <v>3</v>
      </c>
      <c r="K240" s="147">
        <v>3</v>
      </c>
      <c r="L240" s="140"/>
      <c r="M240" s="132">
        <f t="shared" si="62"/>
        <v>100</v>
      </c>
      <c r="N240" s="13"/>
      <c r="O240" s="14" t="s">
        <v>912</v>
      </c>
      <c r="P240" s="95" t="s">
        <v>467</v>
      </c>
      <c r="Q240" s="96" t="s">
        <v>677</v>
      </c>
      <c r="R240" s="12"/>
    </row>
    <row r="241" spans="2:18" ht="114" customHeight="1" x14ac:dyDescent="0.25">
      <c r="B241" s="14"/>
      <c r="C241" s="25" t="s">
        <v>880</v>
      </c>
      <c r="D241" s="136">
        <f t="shared" si="63"/>
        <v>90.539999999999992</v>
      </c>
      <c r="E241" s="140">
        <v>24.3</v>
      </c>
      <c r="F241" s="140">
        <v>66.239999999999995</v>
      </c>
      <c r="G241" s="136">
        <f t="shared" si="64"/>
        <v>452.32899999999995</v>
      </c>
      <c r="H241" s="140">
        <v>121.143</v>
      </c>
      <c r="I241" s="140">
        <v>331.18599999999998</v>
      </c>
      <c r="J241" s="136">
        <f t="shared" si="65"/>
        <v>90.465519999999998</v>
      </c>
      <c r="K241" s="147">
        <v>24.226520000000001</v>
      </c>
      <c r="L241" s="140">
        <v>66.239000000000004</v>
      </c>
      <c r="M241" s="132">
        <f t="shared" si="62"/>
        <v>99.917738016346377</v>
      </c>
      <c r="N241" s="13"/>
      <c r="O241" s="14" t="s">
        <v>913</v>
      </c>
      <c r="P241" s="95" t="s">
        <v>732</v>
      </c>
      <c r="Q241" s="96" t="s">
        <v>291</v>
      </c>
      <c r="R241" s="12"/>
    </row>
    <row r="242" spans="2:18" ht="12.75" x14ac:dyDescent="0.25">
      <c r="B242" s="14"/>
      <c r="C242" s="25" t="s">
        <v>881</v>
      </c>
      <c r="D242" s="136">
        <f t="shared" si="63"/>
        <v>248.309</v>
      </c>
      <c r="E242" s="140">
        <v>83.363</v>
      </c>
      <c r="F242" s="140">
        <v>164.946</v>
      </c>
      <c r="G242" s="136"/>
      <c r="H242" s="140"/>
      <c r="I242" s="140"/>
      <c r="J242" s="136"/>
      <c r="K242" s="147"/>
      <c r="L242" s="140"/>
      <c r="M242" s="132">
        <f t="shared" si="62"/>
        <v>0</v>
      </c>
      <c r="N242" s="13"/>
      <c r="O242" s="14"/>
      <c r="P242" s="95"/>
      <c r="Q242" s="96"/>
      <c r="R242" s="12"/>
    </row>
    <row r="243" spans="2:18" ht="12.75" x14ac:dyDescent="0.25">
      <c r="B243" s="14"/>
      <c r="C243" s="55" t="s">
        <v>19</v>
      </c>
      <c r="D243" s="136">
        <f t="shared" si="63"/>
        <v>353.976</v>
      </c>
      <c r="E243" s="140">
        <f>SUM(E235:E242)</f>
        <v>122.78999999999999</v>
      </c>
      <c r="F243" s="140">
        <f>SUM(F235:F242)</f>
        <v>231.18599999999998</v>
      </c>
      <c r="G243" s="136">
        <f t="shared" si="64"/>
        <v>498.03390000000002</v>
      </c>
      <c r="H243" s="140">
        <f>SUM(H235:H241)</f>
        <v>133.27000000000001</v>
      </c>
      <c r="I243" s="140">
        <f>SUM(I235:I241)</f>
        <v>364.76389999999998</v>
      </c>
      <c r="J243" s="136">
        <f t="shared" si="65"/>
        <v>98.84199000000001</v>
      </c>
      <c r="K243" s="140">
        <f>SUM(K235:K241)</f>
        <v>32.602989999999998</v>
      </c>
      <c r="L243" s="140">
        <f>SUM(L235:L241)</f>
        <v>66.239000000000004</v>
      </c>
      <c r="M243" s="132">
        <f t="shared" si="62"/>
        <v>27.923359210793958</v>
      </c>
      <c r="N243" s="13"/>
      <c r="O243" s="14"/>
      <c r="P243" s="22"/>
      <c r="Q243" s="23"/>
      <c r="R243" s="12"/>
    </row>
    <row r="244" spans="2:18" ht="38.25" x14ac:dyDescent="0.25">
      <c r="B244" s="14" t="s">
        <v>246</v>
      </c>
      <c r="C244" s="65" t="s">
        <v>247</v>
      </c>
      <c r="D244" s="136"/>
      <c r="E244" s="150"/>
      <c r="F244" s="150"/>
      <c r="G244" s="136"/>
      <c r="H244" s="150"/>
      <c r="I244" s="150"/>
      <c r="J244" s="136"/>
      <c r="K244" s="150"/>
      <c r="L244" s="150"/>
      <c r="M244" s="132"/>
      <c r="N244" s="13"/>
      <c r="O244" s="14"/>
      <c r="P244" s="100"/>
      <c r="Q244" s="96"/>
      <c r="R244" s="12"/>
    </row>
    <row r="245" spans="2:18" ht="80.25" x14ac:dyDescent="0.25">
      <c r="B245" s="14"/>
      <c r="C245" s="39" t="s">
        <v>538</v>
      </c>
      <c r="D245" s="136">
        <f t="shared" si="63"/>
        <v>80.948700000000002</v>
      </c>
      <c r="E245" s="150">
        <v>80.948700000000002</v>
      </c>
      <c r="F245" s="150"/>
      <c r="G245" s="136">
        <f t="shared" si="64"/>
        <v>80.948849999999993</v>
      </c>
      <c r="H245" s="150">
        <v>80.948849999999993</v>
      </c>
      <c r="I245" s="150"/>
      <c r="J245" s="136">
        <f t="shared" si="65"/>
        <v>80.589020000000005</v>
      </c>
      <c r="K245" s="150">
        <f>55.12115+2.90111+22.56676</f>
        <v>80.589020000000005</v>
      </c>
      <c r="L245" s="150"/>
      <c r="M245" s="132">
        <f t="shared" si="62"/>
        <v>99.555669207782216</v>
      </c>
      <c r="N245" s="13">
        <v>100</v>
      </c>
      <c r="O245" s="14" t="s">
        <v>537</v>
      </c>
      <c r="P245" s="100" t="s">
        <v>414</v>
      </c>
      <c r="Q245" s="40" t="s">
        <v>181</v>
      </c>
      <c r="R245" s="12"/>
    </row>
    <row r="246" spans="2:18" ht="111.75" customHeight="1" x14ac:dyDescent="0.25">
      <c r="B246" s="14"/>
      <c r="C246" s="39" t="s">
        <v>606</v>
      </c>
      <c r="D246" s="136">
        <f t="shared" si="63"/>
        <v>34</v>
      </c>
      <c r="E246" s="150">
        <v>34</v>
      </c>
      <c r="F246" s="150"/>
      <c r="G246" s="136">
        <f t="shared" si="64"/>
        <v>34</v>
      </c>
      <c r="H246" s="150">
        <v>34</v>
      </c>
      <c r="I246" s="150"/>
      <c r="J246" s="136">
        <f t="shared" si="65"/>
        <v>34</v>
      </c>
      <c r="K246" s="150">
        <f>24+10</f>
        <v>34</v>
      </c>
      <c r="L246" s="150"/>
      <c r="M246" s="132">
        <f t="shared" si="62"/>
        <v>99.999999999999986</v>
      </c>
      <c r="N246" s="13"/>
      <c r="O246" s="14" t="s">
        <v>529</v>
      </c>
      <c r="P246" s="100">
        <v>71</v>
      </c>
      <c r="Q246" s="40" t="s">
        <v>530</v>
      </c>
      <c r="R246" s="12"/>
    </row>
    <row r="247" spans="2:18" ht="12.75" x14ac:dyDescent="0.25">
      <c r="B247" s="14"/>
      <c r="C247" s="63" t="s">
        <v>19</v>
      </c>
      <c r="D247" s="136">
        <f t="shared" si="63"/>
        <v>114.9487</v>
      </c>
      <c r="E247" s="150">
        <f>SUM(E245:E246)</f>
        <v>114.9487</v>
      </c>
      <c r="F247" s="150">
        <f>SUM(F245:F246)</f>
        <v>0</v>
      </c>
      <c r="G247" s="136">
        <f t="shared" si="64"/>
        <v>114.94884999999999</v>
      </c>
      <c r="H247" s="150">
        <f>SUM(H245:H246)</f>
        <v>114.94884999999999</v>
      </c>
      <c r="I247" s="150">
        <f>SUM(I245:I246)</f>
        <v>0</v>
      </c>
      <c r="J247" s="136">
        <f t="shared" si="65"/>
        <v>114.58902</v>
      </c>
      <c r="K247" s="150">
        <f>SUM(K245:K246)</f>
        <v>114.58902</v>
      </c>
      <c r="L247" s="150">
        <f>SUM(L245:L246)</f>
        <v>0</v>
      </c>
      <c r="M247" s="132">
        <f t="shared" ref="M247:M329" si="69">J247/D247%</f>
        <v>99.687095199858732</v>
      </c>
      <c r="N247" s="13"/>
      <c r="O247" s="14"/>
      <c r="P247" s="100"/>
      <c r="Q247" s="96"/>
      <c r="R247" s="12"/>
    </row>
    <row r="248" spans="2:18" ht="12.75" x14ac:dyDescent="0.25">
      <c r="B248" s="14"/>
      <c r="C248" s="63"/>
      <c r="D248" s="136"/>
      <c r="E248" s="150"/>
      <c r="F248" s="150"/>
      <c r="G248" s="136"/>
      <c r="H248" s="150"/>
      <c r="I248" s="150"/>
      <c r="J248" s="136"/>
      <c r="K248" s="150"/>
      <c r="L248" s="150"/>
      <c r="M248" s="132"/>
      <c r="N248" s="13"/>
      <c r="O248" s="14"/>
      <c r="P248" s="100"/>
      <c r="Q248" s="96"/>
      <c r="R248" s="26"/>
    </row>
    <row r="249" spans="2:18" ht="96" customHeight="1" x14ac:dyDescent="0.25">
      <c r="B249" s="17" t="s">
        <v>248</v>
      </c>
      <c r="C249" s="4" t="s">
        <v>249</v>
      </c>
      <c r="D249" s="136"/>
      <c r="E249" s="135"/>
      <c r="F249" s="135"/>
      <c r="G249" s="136"/>
      <c r="H249" s="136"/>
      <c r="I249" s="137"/>
      <c r="J249" s="136"/>
      <c r="K249" s="136"/>
      <c r="L249" s="136"/>
      <c r="M249" s="132"/>
      <c r="N249" s="13"/>
      <c r="O249" s="10"/>
      <c r="P249" s="11"/>
      <c r="Q249" s="10"/>
      <c r="R249" s="12"/>
    </row>
    <row r="250" spans="2:18" ht="93.75" customHeight="1" x14ac:dyDescent="0.25">
      <c r="B250" s="17"/>
      <c r="C250" s="25" t="s">
        <v>412</v>
      </c>
      <c r="D250" s="136">
        <f t="shared" si="63"/>
        <v>42.95431</v>
      </c>
      <c r="E250" s="136">
        <v>42.95431</v>
      </c>
      <c r="F250" s="135"/>
      <c r="G250" s="136">
        <f t="shared" si="64"/>
        <v>69.271960000000007</v>
      </c>
      <c r="H250" s="136">
        <v>69.271960000000007</v>
      </c>
      <c r="I250" s="137"/>
      <c r="J250" s="136">
        <f t="shared" si="65"/>
        <v>42.95431</v>
      </c>
      <c r="K250" s="136">
        <v>42.95431</v>
      </c>
      <c r="L250" s="136"/>
      <c r="M250" s="201">
        <f>(J250+J251)/(D250+D251)%</f>
        <v>100</v>
      </c>
      <c r="N250" s="201"/>
      <c r="O250" s="198" t="s">
        <v>539</v>
      </c>
      <c r="P250" s="199" t="s">
        <v>414</v>
      </c>
      <c r="Q250" s="25" t="s">
        <v>415</v>
      </c>
      <c r="R250" s="12"/>
    </row>
    <row r="251" spans="2:18" ht="90" customHeight="1" x14ac:dyDescent="0.25">
      <c r="B251" s="17"/>
      <c r="C251" s="25" t="s">
        <v>413</v>
      </c>
      <c r="D251" s="136">
        <f t="shared" si="63"/>
        <v>6.6599199999999996</v>
      </c>
      <c r="E251" s="140">
        <v>6.6599199999999996</v>
      </c>
      <c r="F251" s="136"/>
      <c r="G251" s="136">
        <f t="shared" si="64"/>
        <v>0</v>
      </c>
      <c r="H251" s="142"/>
      <c r="I251" s="140"/>
      <c r="J251" s="136">
        <f t="shared" si="65"/>
        <v>6.6599199999999996</v>
      </c>
      <c r="K251" s="140">
        <v>6.6599199999999996</v>
      </c>
      <c r="L251" s="140"/>
      <c r="M251" s="201"/>
      <c r="N251" s="201"/>
      <c r="O251" s="198"/>
      <c r="P251" s="199"/>
      <c r="Q251" s="25" t="s">
        <v>603</v>
      </c>
      <c r="R251" s="12"/>
    </row>
    <row r="252" spans="2:18" ht="68.25" customHeight="1" x14ac:dyDescent="0.25">
      <c r="B252" s="17"/>
      <c r="C252" s="25" t="s">
        <v>678</v>
      </c>
      <c r="D252" s="136">
        <f t="shared" si="63"/>
        <v>4.83</v>
      </c>
      <c r="E252" s="140">
        <v>4.83</v>
      </c>
      <c r="F252" s="136"/>
      <c r="G252" s="136">
        <f t="shared" si="64"/>
        <v>0</v>
      </c>
      <c r="H252" s="142"/>
      <c r="I252" s="140"/>
      <c r="J252" s="136">
        <f t="shared" si="65"/>
        <v>4.83</v>
      </c>
      <c r="K252" s="140">
        <v>4.83</v>
      </c>
      <c r="L252" s="140"/>
      <c r="M252" s="132">
        <f t="shared" ref="M252:M253" si="70">J252/D252%</f>
        <v>100</v>
      </c>
      <c r="N252" s="13"/>
      <c r="O252" s="96" t="s">
        <v>914</v>
      </c>
      <c r="P252" s="100" t="s">
        <v>679</v>
      </c>
      <c r="Q252" s="25" t="s">
        <v>680</v>
      </c>
      <c r="R252" s="12"/>
    </row>
    <row r="253" spans="2:18" ht="12.75" x14ac:dyDescent="0.25">
      <c r="B253" s="17"/>
      <c r="C253" s="25"/>
      <c r="D253" s="136">
        <f t="shared" si="63"/>
        <v>22.657769999999999</v>
      </c>
      <c r="E253" s="140">
        <v>22.657769999999999</v>
      </c>
      <c r="F253" s="136"/>
      <c r="G253" s="136"/>
      <c r="H253" s="142"/>
      <c r="I253" s="140"/>
      <c r="J253" s="136"/>
      <c r="K253" s="140"/>
      <c r="L253" s="140"/>
      <c r="M253" s="132">
        <f t="shared" si="70"/>
        <v>0</v>
      </c>
      <c r="N253" s="13"/>
      <c r="O253" s="96"/>
      <c r="P253" s="100"/>
      <c r="Q253" s="25"/>
      <c r="R253" s="12"/>
    </row>
    <row r="254" spans="2:18" ht="12.75" x14ac:dyDescent="0.25">
      <c r="B254" s="17"/>
      <c r="C254" s="4" t="s">
        <v>19</v>
      </c>
      <c r="D254" s="136">
        <f t="shared" si="63"/>
        <v>77.102000000000004</v>
      </c>
      <c r="E254" s="136">
        <f>SUM(E250:E253)</f>
        <v>77.102000000000004</v>
      </c>
      <c r="F254" s="136">
        <f>SUM(F250:F253)</f>
        <v>0</v>
      </c>
      <c r="G254" s="136">
        <f t="shared" si="64"/>
        <v>69.271960000000007</v>
      </c>
      <c r="H254" s="136">
        <f>SUM(H250:H253)</f>
        <v>69.271960000000007</v>
      </c>
      <c r="I254" s="136">
        <f>SUM(I250:I253)</f>
        <v>0</v>
      </c>
      <c r="J254" s="136">
        <f t="shared" si="65"/>
        <v>54.444229999999997</v>
      </c>
      <c r="K254" s="136">
        <f>SUM(K250:K253)</f>
        <v>54.444229999999997</v>
      </c>
      <c r="L254" s="136">
        <f>SUM(L250:L253)</f>
        <v>0</v>
      </c>
      <c r="M254" s="132">
        <f t="shared" si="69"/>
        <v>70.613252574511677</v>
      </c>
      <c r="N254" s="13"/>
      <c r="O254" s="17"/>
      <c r="P254" s="66"/>
      <c r="Q254" s="67"/>
      <c r="R254" s="12"/>
    </row>
    <row r="255" spans="2:18" ht="12.75" hidden="1" x14ac:dyDescent="0.25">
      <c r="B255" s="17"/>
      <c r="C255" s="4"/>
      <c r="D255" s="136"/>
      <c r="E255" s="136"/>
      <c r="F255" s="136"/>
      <c r="G255" s="136"/>
      <c r="H255" s="136"/>
      <c r="I255" s="136"/>
      <c r="J255" s="136"/>
      <c r="K255" s="136"/>
      <c r="L255" s="136"/>
      <c r="M255" s="132"/>
      <c r="N255" s="13"/>
      <c r="O255" s="17"/>
      <c r="P255" s="66"/>
      <c r="Q255" s="67"/>
      <c r="R255" s="12"/>
    </row>
    <row r="256" spans="2:18" ht="38.25" hidden="1" x14ac:dyDescent="0.25">
      <c r="B256" s="68" t="s">
        <v>250</v>
      </c>
      <c r="C256" s="4" t="s">
        <v>251</v>
      </c>
      <c r="D256" s="136"/>
      <c r="E256" s="136"/>
      <c r="F256" s="136"/>
      <c r="G256" s="136"/>
      <c r="H256" s="136"/>
      <c r="I256" s="136"/>
      <c r="J256" s="136"/>
      <c r="K256" s="136"/>
      <c r="L256" s="136"/>
      <c r="M256" s="132" t="e">
        <f t="shared" si="69"/>
        <v>#DIV/0!</v>
      </c>
      <c r="N256" s="13"/>
      <c r="O256" s="17"/>
      <c r="P256" s="66"/>
      <c r="Q256" s="67"/>
      <c r="R256" s="12"/>
    </row>
    <row r="257" spans="2:19" ht="12.75" hidden="1" x14ac:dyDescent="0.25">
      <c r="B257" s="17"/>
      <c r="C257" s="103"/>
      <c r="D257" s="136"/>
      <c r="E257" s="136"/>
      <c r="F257" s="136"/>
      <c r="G257" s="136"/>
      <c r="H257" s="136"/>
      <c r="I257" s="136"/>
      <c r="J257" s="136"/>
      <c r="K257" s="136"/>
      <c r="L257" s="136"/>
      <c r="M257" s="132" t="e">
        <f t="shared" si="69"/>
        <v>#DIV/0!</v>
      </c>
      <c r="N257" s="13"/>
      <c r="O257" s="14"/>
      <c r="P257" s="22"/>
      <c r="Q257" s="35"/>
      <c r="R257" s="12"/>
    </row>
    <row r="258" spans="2:19" ht="38.25" x14ac:dyDescent="0.25">
      <c r="B258" s="17" t="s">
        <v>252</v>
      </c>
      <c r="C258" s="4" t="s">
        <v>253</v>
      </c>
      <c r="D258" s="136"/>
      <c r="E258" s="135"/>
      <c r="F258" s="135"/>
      <c r="G258" s="136"/>
      <c r="H258" s="136"/>
      <c r="I258" s="137"/>
      <c r="J258" s="136"/>
      <c r="K258" s="136"/>
      <c r="L258" s="136"/>
      <c r="M258" s="132"/>
      <c r="N258" s="13"/>
      <c r="O258" s="10"/>
      <c r="P258" s="11"/>
      <c r="Q258" s="10"/>
      <c r="R258" s="12"/>
    </row>
    <row r="259" spans="2:19" ht="36" x14ac:dyDescent="0.25">
      <c r="B259" s="14"/>
      <c r="C259" s="69" t="s">
        <v>254</v>
      </c>
      <c r="D259" s="136">
        <f t="shared" ref="D259:D352" si="71">E259+F259</f>
        <v>1E-4</v>
      </c>
      <c r="E259" s="140"/>
      <c r="F259" s="151">
        <v>1E-4</v>
      </c>
      <c r="G259" s="136">
        <f t="shared" ref="G259:G352" si="72">H259+I259</f>
        <v>0</v>
      </c>
      <c r="H259" s="140"/>
      <c r="I259" s="151"/>
      <c r="J259" s="136">
        <f t="shared" ref="J259:J352" si="73">K259+L259</f>
        <v>0</v>
      </c>
      <c r="K259" s="140"/>
      <c r="L259" s="140"/>
      <c r="M259" s="132">
        <f t="shared" si="69"/>
        <v>0</v>
      </c>
      <c r="N259" s="13"/>
      <c r="O259" s="14"/>
      <c r="P259" s="94"/>
      <c r="Q259" s="38"/>
      <c r="R259" s="12"/>
    </row>
    <row r="260" spans="2:19" ht="36" x14ac:dyDescent="0.25">
      <c r="B260" s="14"/>
      <c r="C260" s="69" t="s">
        <v>255</v>
      </c>
      <c r="D260" s="136">
        <f t="shared" si="71"/>
        <v>0.90410000000000001</v>
      </c>
      <c r="E260" s="140"/>
      <c r="F260" s="151">
        <v>0.90410000000000001</v>
      </c>
      <c r="G260" s="136">
        <f t="shared" si="72"/>
        <v>0</v>
      </c>
      <c r="H260" s="140"/>
      <c r="I260" s="151"/>
      <c r="J260" s="136">
        <f t="shared" si="73"/>
        <v>0</v>
      </c>
      <c r="K260" s="140"/>
      <c r="L260" s="140"/>
      <c r="M260" s="132">
        <f t="shared" si="69"/>
        <v>0</v>
      </c>
      <c r="N260" s="13"/>
      <c r="O260" s="14"/>
      <c r="P260" s="94"/>
      <c r="Q260" s="38"/>
      <c r="R260" s="12"/>
    </row>
    <row r="261" spans="2:19" ht="44.25" customHeight="1" x14ac:dyDescent="0.25">
      <c r="B261" s="14"/>
      <c r="C261" s="28" t="s">
        <v>256</v>
      </c>
      <c r="D261" s="136">
        <f t="shared" si="71"/>
        <v>1.5673299999999999</v>
      </c>
      <c r="E261" s="140"/>
      <c r="F261" s="141">
        <v>1.5673299999999999</v>
      </c>
      <c r="G261" s="136">
        <f t="shared" si="72"/>
        <v>0</v>
      </c>
      <c r="H261" s="140"/>
      <c r="I261" s="141"/>
      <c r="J261" s="136">
        <f t="shared" si="73"/>
        <v>0</v>
      </c>
      <c r="K261" s="140"/>
      <c r="L261" s="140"/>
      <c r="M261" s="132">
        <f t="shared" si="69"/>
        <v>0</v>
      </c>
      <c r="N261" s="13"/>
      <c r="O261" s="70"/>
      <c r="P261" s="47"/>
      <c r="Q261" s="34"/>
      <c r="R261" s="12"/>
    </row>
    <row r="262" spans="2:19" ht="45" customHeight="1" x14ac:dyDescent="0.25">
      <c r="B262" s="14"/>
      <c r="C262" s="59" t="s">
        <v>257</v>
      </c>
      <c r="D262" s="136">
        <f t="shared" si="71"/>
        <v>32.613030000000002</v>
      </c>
      <c r="E262" s="140"/>
      <c r="F262" s="141">
        <v>32.613030000000002</v>
      </c>
      <c r="G262" s="136">
        <f t="shared" si="72"/>
        <v>0</v>
      </c>
      <c r="H262" s="140"/>
      <c r="I262" s="141"/>
      <c r="J262" s="136">
        <f t="shared" si="73"/>
        <v>0</v>
      </c>
      <c r="K262" s="140"/>
      <c r="L262" s="140"/>
      <c r="M262" s="132">
        <f t="shared" si="69"/>
        <v>0</v>
      </c>
      <c r="N262" s="13"/>
      <c r="O262" s="14"/>
      <c r="P262" s="94"/>
      <c r="Q262" s="59"/>
      <c r="R262" s="12"/>
    </row>
    <row r="263" spans="2:19" ht="76.5" x14ac:dyDescent="0.25">
      <c r="B263" s="14"/>
      <c r="C263" s="59" t="s">
        <v>882</v>
      </c>
      <c r="D263" s="136">
        <f t="shared" si="71"/>
        <v>10.746739999999999</v>
      </c>
      <c r="E263" s="140"/>
      <c r="F263" s="141">
        <f>2.4+1.07607+7.27067</f>
        <v>10.746739999999999</v>
      </c>
      <c r="G263" s="136">
        <f t="shared" si="72"/>
        <v>10.746739999999999</v>
      </c>
      <c r="H263" s="140"/>
      <c r="I263" s="141">
        <f>2.4+1.07607+7.27067</f>
        <v>10.746739999999999</v>
      </c>
      <c r="J263" s="136">
        <f>K263+L263</f>
        <v>10.746739999999999</v>
      </c>
      <c r="K263" s="152"/>
      <c r="L263" s="140">
        <f>1.07607+2.4+7.27067</f>
        <v>10.746739999999999</v>
      </c>
      <c r="M263" s="132">
        <f t="shared" si="69"/>
        <v>100</v>
      </c>
      <c r="N263" s="13"/>
      <c r="O263" s="14" t="s">
        <v>835</v>
      </c>
      <c r="P263" s="94" t="s">
        <v>681</v>
      </c>
      <c r="Q263" s="25" t="s">
        <v>163</v>
      </c>
      <c r="R263" s="12"/>
    </row>
    <row r="264" spans="2:19" ht="134.25" customHeight="1" x14ac:dyDescent="0.25">
      <c r="B264" s="14"/>
      <c r="C264" s="25" t="s">
        <v>929</v>
      </c>
      <c r="D264" s="136">
        <f t="shared" si="71"/>
        <v>11.378299999999999</v>
      </c>
      <c r="E264" s="140"/>
      <c r="F264" s="141">
        <v>11.378299999999999</v>
      </c>
      <c r="G264" s="136">
        <f t="shared" si="72"/>
        <v>11.378299999999999</v>
      </c>
      <c r="H264" s="140"/>
      <c r="I264" s="141">
        <v>11.378299999999999</v>
      </c>
      <c r="J264" s="136">
        <f>K264+L264</f>
        <v>11.378299999999999</v>
      </c>
      <c r="K264" s="152"/>
      <c r="L264" s="140">
        <v>11.378299999999999</v>
      </c>
      <c r="M264" s="132">
        <f t="shared" si="69"/>
        <v>100</v>
      </c>
      <c r="N264" s="13"/>
      <c r="O264" s="14" t="s">
        <v>835</v>
      </c>
      <c r="P264" s="94" t="s">
        <v>682</v>
      </c>
      <c r="Q264" s="25" t="s">
        <v>416</v>
      </c>
      <c r="R264" s="12"/>
    </row>
    <row r="265" spans="2:19" ht="63.75" x14ac:dyDescent="0.25">
      <c r="B265" s="14"/>
      <c r="C265" s="59" t="s">
        <v>930</v>
      </c>
      <c r="D265" s="136">
        <f t="shared" ref="D265:D271" si="74">E265+F265</f>
        <v>16.286580000000001</v>
      </c>
      <c r="E265" s="140">
        <v>6.6123099999999999</v>
      </c>
      <c r="F265" s="141">
        <v>9.6742699999999999</v>
      </c>
      <c r="G265" s="136">
        <f t="shared" ref="G265:G271" si="75">H265+I265</f>
        <v>16.286580000000001</v>
      </c>
      <c r="H265" s="140">
        <v>6.6123099999999999</v>
      </c>
      <c r="I265" s="141">
        <v>9.6742699999999999</v>
      </c>
      <c r="J265" s="136">
        <f t="shared" ref="J265:J271" si="76">K265+L265</f>
        <v>18.697699999999998</v>
      </c>
      <c r="K265" s="140">
        <f>8.96018+0.43766</f>
        <v>9.3978399999999986</v>
      </c>
      <c r="L265" s="140">
        <f>8.86675+0.43311</f>
        <v>9.2998599999999989</v>
      </c>
      <c r="M265" s="132">
        <f t="shared" si="69"/>
        <v>114.8043358396913</v>
      </c>
      <c r="N265" s="13"/>
      <c r="O265" s="176" t="s">
        <v>832</v>
      </c>
      <c r="P265" s="175" t="s">
        <v>683</v>
      </c>
      <c r="Q265" s="177" t="s">
        <v>684</v>
      </c>
      <c r="R265" s="12"/>
    </row>
    <row r="266" spans="2:19" ht="69" customHeight="1" x14ac:dyDescent="0.25">
      <c r="B266" s="14"/>
      <c r="C266" s="59" t="s">
        <v>931</v>
      </c>
      <c r="D266" s="136">
        <f t="shared" si="74"/>
        <v>19.328150000000001</v>
      </c>
      <c r="E266" s="140">
        <v>9.7147100000000002</v>
      </c>
      <c r="F266" s="141">
        <v>9.6134400000000007</v>
      </c>
      <c r="G266" s="136">
        <f t="shared" si="75"/>
        <v>19.328150000000001</v>
      </c>
      <c r="H266" s="140">
        <v>9.7147100000000002</v>
      </c>
      <c r="I266" s="141">
        <v>9.6134400000000007</v>
      </c>
      <c r="J266" s="136">
        <f t="shared" si="76"/>
        <v>15.73582</v>
      </c>
      <c r="K266" s="140">
        <v>6.3887499999999999</v>
      </c>
      <c r="L266" s="140">
        <v>9.3470700000000004</v>
      </c>
      <c r="M266" s="132">
        <f t="shared" si="69"/>
        <v>81.413999787874161</v>
      </c>
      <c r="N266" s="13"/>
      <c r="O266" s="176"/>
      <c r="P266" s="175"/>
      <c r="Q266" s="177"/>
      <c r="R266" s="12"/>
      <c r="S266" s="116"/>
    </row>
    <row r="267" spans="2:19" ht="114.75" x14ac:dyDescent="0.25">
      <c r="B267" s="14"/>
      <c r="C267" s="59" t="s">
        <v>932</v>
      </c>
      <c r="D267" s="136">
        <f t="shared" si="74"/>
        <v>0.8</v>
      </c>
      <c r="E267" s="140"/>
      <c r="F267" s="141">
        <v>0.8</v>
      </c>
      <c r="G267" s="136">
        <f t="shared" si="75"/>
        <v>0.8</v>
      </c>
      <c r="H267" s="140"/>
      <c r="I267" s="141">
        <v>0.8</v>
      </c>
      <c r="J267" s="136">
        <f t="shared" si="76"/>
        <v>0.76314000000000004</v>
      </c>
      <c r="K267" s="140"/>
      <c r="L267" s="140">
        <v>0.76314000000000004</v>
      </c>
      <c r="M267" s="132">
        <f t="shared" si="69"/>
        <v>95.392499999999998</v>
      </c>
      <c r="N267" s="13"/>
      <c r="O267" s="14" t="s">
        <v>915</v>
      </c>
      <c r="P267" s="94" t="s">
        <v>733</v>
      </c>
      <c r="Q267" s="59" t="s">
        <v>163</v>
      </c>
      <c r="R267" s="12"/>
    </row>
    <row r="268" spans="2:19" ht="76.5" x14ac:dyDescent="0.25">
      <c r="B268" s="14"/>
      <c r="C268" s="59" t="s">
        <v>933</v>
      </c>
      <c r="D268" s="136">
        <f t="shared" si="74"/>
        <v>0.4</v>
      </c>
      <c r="E268" s="140"/>
      <c r="F268" s="141">
        <v>0.4</v>
      </c>
      <c r="G268" s="136">
        <f t="shared" si="75"/>
        <v>0.4</v>
      </c>
      <c r="H268" s="140"/>
      <c r="I268" s="141">
        <v>0.4</v>
      </c>
      <c r="J268" s="136">
        <f t="shared" si="76"/>
        <v>0.36320999999999998</v>
      </c>
      <c r="K268" s="140"/>
      <c r="L268" s="140">
        <v>0.36320999999999998</v>
      </c>
      <c r="M268" s="132">
        <f t="shared" si="69"/>
        <v>90.802499999999995</v>
      </c>
      <c r="N268" s="13"/>
      <c r="O268" s="14" t="s">
        <v>834</v>
      </c>
      <c r="P268" s="94" t="s">
        <v>734</v>
      </c>
      <c r="Q268" s="59" t="s">
        <v>163</v>
      </c>
      <c r="R268" s="12"/>
    </row>
    <row r="269" spans="2:19" ht="178.5" x14ac:dyDescent="0.25">
      <c r="B269" s="14"/>
      <c r="C269" s="25" t="s">
        <v>736</v>
      </c>
      <c r="D269" s="136">
        <f t="shared" si="74"/>
        <v>0.8</v>
      </c>
      <c r="E269" s="140">
        <v>0.8</v>
      </c>
      <c r="F269" s="141"/>
      <c r="G269" s="136">
        <f t="shared" si="75"/>
        <v>0</v>
      </c>
      <c r="H269" s="140"/>
      <c r="I269" s="141"/>
      <c r="J269" s="136">
        <f t="shared" si="76"/>
        <v>0.4</v>
      </c>
      <c r="K269" s="140">
        <v>0.4</v>
      </c>
      <c r="L269" s="140"/>
      <c r="M269" s="132">
        <f t="shared" si="69"/>
        <v>50</v>
      </c>
      <c r="N269" s="13"/>
      <c r="O269" s="14"/>
      <c r="P269" s="25" t="s">
        <v>740</v>
      </c>
      <c r="Q269" s="25" t="s">
        <v>383</v>
      </c>
      <c r="R269" s="12"/>
    </row>
    <row r="270" spans="2:19" ht="178.5" x14ac:dyDescent="0.25">
      <c r="B270" s="14"/>
      <c r="C270" s="25" t="s">
        <v>737</v>
      </c>
      <c r="D270" s="136">
        <f t="shared" si="74"/>
        <v>0.8</v>
      </c>
      <c r="E270" s="140">
        <v>0.8</v>
      </c>
      <c r="F270" s="141"/>
      <c r="G270" s="136">
        <f t="shared" si="75"/>
        <v>0</v>
      </c>
      <c r="H270" s="140"/>
      <c r="I270" s="141"/>
      <c r="J270" s="136">
        <f t="shared" si="76"/>
        <v>0.4</v>
      </c>
      <c r="K270" s="140">
        <v>0.4</v>
      </c>
      <c r="L270" s="140"/>
      <c r="M270" s="132">
        <f t="shared" si="69"/>
        <v>50</v>
      </c>
      <c r="N270" s="13"/>
      <c r="O270" s="14"/>
      <c r="P270" s="25" t="s">
        <v>741</v>
      </c>
      <c r="Q270" s="25" t="s">
        <v>383</v>
      </c>
      <c r="R270" s="12"/>
    </row>
    <row r="271" spans="2:19" ht="178.5" x14ac:dyDescent="0.25">
      <c r="B271" s="14"/>
      <c r="C271" s="25" t="s">
        <v>738</v>
      </c>
      <c r="D271" s="136">
        <f t="shared" si="74"/>
        <v>0.8</v>
      </c>
      <c r="E271" s="140">
        <v>0.8</v>
      </c>
      <c r="F271" s="141"/>
      <c r="G271" s="136">
        <f t="shared" si="75"/>
        <v>0</v>
      </c>
      <c r="H271" s="140"/>
      <c r="I271" s="141"/>
      <c r="J271" s="136">
        <f t="shared" si="76"/>
        <v>0.4</v>
      </c>
      <c r="K271" s="140">
        <v>0.4</v>
      </c>
      <c r="L271" s="140"/>
      <c r="M271" s="132">
        <f t="shared" si="69"/>
        <v>50</v>
      </c>
      <c r="N271" s="13"/>
      <c r="O271" s="14"/>
      <c r="P271" s="25" t="s">
        <v>741</v>
      </c>
      <c r="Q271" s="25" t="s">
        <v>383</v>
      </c>
      <c r="R271" s="12"/>
    </row>
    <row r="272" spans="2:19" ht="178.5" x14ac:dyDescent="0.25">
      <c r="B272" s="14"/>
      <c r="C272" s="25" t="s">
        <v>739</v>
      </c>
      <c r="D272" s="136">
        <f t="shared" ref="D272:D279" si="77">E272+F272</f>
        <v>1.6</v>
      </c>
      <c r="E272" s="140">
        <v>1.6</v>
      </c>
      <c r="F272" s="141"/>
      <c r="G272" s="136">
        <f t="shared" ref="G272:G277" si="78">H272+I272</f>
        <v>0</v>
      </c>
      <c r="H272" s="140"/>
      <c r="I272" s="141"/>
      <c r="J272" s="136">
        <f t="shared" ref="J272:J277" si="79">K272+L272</f>
        <v>0.8</v>
      </c>
      <c r="K272" s="140">
        <v>0.8</v>
      </c>
      <c r="L272" s="140"/>
      <c r="M272" s="132">
        <f t="shared" ref="M272:M283" si="80">J272/D272%</f>
        <v>50</v>
      </c>
      <c r="N272" s="13"/>
      <c r="O272" s="14"/>
      <c r="P272" s="25" t="s">
        <v>742</v>
      </c>
      <c r="Q272" s="25" t="s">
        <v>383</v>
      </c>
      <c r="R272" s="12"/>
    </row>
    <row r="273" spans="2:18" ht="63.75" x14ac:dyDescent="0.25">
      <c r="B273" s="14"/>
      <c r="C273" s="59" t="s">
        <v>934</v>
      </c>
      <c r="D273" s="136">
        <f t="shared" si="77"/>
        <v>31.334199999999999</v>
      </c>
      <c r="E273" s="140"/>
      <c r="F273" s="141">
        <v>31.334199999999999</v>
      </c>
      <c r="G273" s="136">
        <f t="shared" si="78"/>
        <v>0</v>
      </c>
      <c r="H273" s="140"/>
      <c r="I273" s="141"/>
      <c r="J273" s="136">
        <f t="shared" si="79"/>
        <v>12.90457</v>
      </c>
      <c r="K273" s="140">
        <v>6.5735900000000003</v>
      </c>
      <c r="L273" s="140">
        <v>6.3309800000000003</v>
      </c>
      <c r="M273" s="132">
        <f t="shared" si="80"/>
        <v>41.183658749864364</v>
      </c>
      <c r="N273" s="13">
        <v>90</v>
      </c>
      <c r="O273" s="14" t="s">
        <v>828</v>
      </c>
      <c r="P273" s="94" t="s">
        <v>743</v>
      </c>
      <c r="Q273" s="59" t="s">
        <v>744</v>
      </c>
      <c r="R273" s="12"/>
    </row>
    <row r="274" spans="2:18" ht="130.5" customHeight="1" x14ac:dyDescent="0.25">
      <c r="B274" s="14"/>
      <c r="C274" s="59" t="s">
        <v>936</v>
      </c>
      <c r="D274" s="136">
        <f t="shared" si="77"/>
        <v>81.916789999999992</v>
      </c>
      <c r="E274" s="140">
        <v>31.559100000000001</v>
      </c>
      <c r="F274" s="141">
        <v>50.357689999999998</v>
      </c>
      <c r="G274" s="136">
        <f t="shared" si="78"/>
        <v>81.916789999999992</v>
      </c>
      <c r="H274" s="140">
        <v>31.559100000000001</v>
      </c>
      <c r="I274" s="141">
        <v>50.357689999999998</v>
      </c>
      <c r="J274" s="136">
        <f t="shared" si="79"/>
        <v>0</v>
      </c>
      <c r="K274" s="140"/>
      <c r="L274" s="140"/>
      <c r="M274" s="132">
        <f t="shared" si="80"/>
        <v>0</v>
      </c>
      <c r="N274" s="13">
        <v>30</v>
      </c>
      <c r="O274" s="14" t="s">
        <v>826</v>
      </c>
      <c r="P274" s="94" t="s">
        <v>743</v>
      </c>
      <c r="Q274" s="59" t="s">
        <v>825</v>
      </c>
      <c r="R274" s="12"/>
    </row>
    <row r="275" spans="2:18" ht="63.75" customHeight="1" x14ac:dyDescent="0.25">
      <c r="B275" s="14"/>
      <c r="C275" s="59" t="s">
        <v>937</v>
      </c>
      <c r="D275" s="136">
        <f t="shared" si="77"/>
        <v>35.24933</v>
      </c>
      <c r="E275" s="140">
        <v>15.954319999999999</v>
      </c>
      <c r="F275" s="141">
        <v>19.295010000000001</v>
      </c>
      <c r="G275" s="136">
        <f t="shared" si="78"/>
        <v>35.24933</v>
      </c>
      <c r="H275" s="140">
        <v>15.954319999999999</v>
      </c>
      <c r="I275" s="141">
        <v>19.295010000000001</v>
      </c>
      <c r="J275" s="136">
        <f t="shared" si="79"/>
        <v>0</v>
      </c>
      <c r="K275" s="140"/>
      <c r="L275" s="140"/>
      <c r="M275" s="132">
        <f t="shared" si="80"/>
        <v>0</v>
      </c>
      <c r="N275" s="13">
        <v>50</v>
      </c>
      <c r="O275" s="176" t="s">
        <v>831</v>
      </c>
      <c r="P275" s="175" t="s">
        <v>745</v>
      </c>
      <c r="Q275" s="177" t="s">
        <v>833</v>
      </c>
      <c r="R275" s="12"/>
    </row>
    <row r="276" spans="2:18" ht="78" customHeight="1" x14ac:dyDescent="0.25">
      <c r="B276" s="14"/>
      <c r="C276" s="59" t="s">
        <v>938</v>
      </c>
      <c r="D276" s="136">
        <f t="shared" si="77"/>
        <v>15.852370000000001</v>
      </c>
      <c r="E276" s="140">
        <v>6.1694199999999997</v>
      </c>
      <c r="F276" s="141">
        <v>9.6829499999999999</v>
      </c>
      <c r="G276" s="136">
        <f t="shared" si="78"/>
        <v>15.852370000000001</v>
      </c>
      <c r="H276" s="140">
        <v>6.1694199999999997</v>
      </c>
      <c r="I276" s="141">
        <v>9.6829499999999999</v>
      </c>
      <c r="J276" s="136">
        <f t="shared" si="79"/>
        <v>0</v>
      </c>
      <c r="K276" s="140"/>
      <c r="L276" s="140"/>
      <c r="M276" s="132">
        <f t="shared" si="80"/>
        <v>0</v>
      </c>
      <c r="N276" s="13">
        <v>50</v>
      </c>
      <c r="O276" s="176"/>
      <c r="P276" s="175"/>
      <c r="Q276" s="177"/>
      <c r="R276" s="12"/>
    </row>
    <row r="277" spans="2:18" ht="163.5" customHeight="1" x14ac:dyDescent="0.25">
      <c r="B277" s="14"/>
      <c r="C277" s="59" t="s">
        <v>939</v>
      </c>
      <c r="D277" s="136">
        <f t="shared" si="77"/>
        <v>75.457300000000004</v>
      </c>
      <c r="E277" s="140">
        <v>24.918150000000001</v>
      </c>
      <c r="F277" s="141">
        <v>50.539149999999999</v>
      </c>
      <c r="G277" s="136">
        <f t="shared" si="78"/>
        <v>75.457300000000004</v>
      </c>
      <c r="H277" s="140">
        <v>24.918150000000001</v>
      </c>
      <c r="I277" s="141">
        <v>50.539149999999999</v>
      </c>
      <c r="J277" s="136">
        <f t="shared" si="79"/>
        <v>0</v>
      </c>
      <c r="K277" s="140"/>
      <c r="L277" s="140"/>
      <c r="M277" s="132">
        <f t="shared" si="80"/>
        <v>0</v>
      </c>
      <c r="N277" s="13">
        <v>80</v>
      </c>
      <c r="O277" s="14" t="s">
        <v>828</v>
      </c>
      <c r="P277" s="94" t="s">
        <v>746</v>
      </c>
      <c r="Q277" s="59" t="s">
        <v>827</v>
      </c>
      <c r="R277" s="12"/>
    </row>
    <row r="278" spans="2:18" ht="102" x14ac:dyDescent="0.25">
      <c r="B278" s="14"/>
      <c r="C278" s="59" t="s">
        <v>940</v>
      </c>
      <c r="D278" s="136">
        <f t="shared" si="77"/>
        <v>22.033770000000001</v>
      </c>
      <c r="E278" s="140">
        <v>6.2615400000000001</v>
      </c>
      <c r="F278" s="141">
        <v>15.77223</v>
      </c>
      <c r="G278" s="136">
        <f t="shared" ref="G278:G279" si="81">H278+I278</f>
        <v>38.156970000000001</v>
      </c>
      <c r="H278" s="140">
        <v>18.98978</v>
      </c>
      <c r="I278" s="141">
        <v>19.167190000000002</v>
      </c>
      <c r="J278" s="136">
        <f t="shared" ref="J278:J279" si="82">K278+L278</f>
        <v>0</v>
      </c>
      <c r="K278" s="140"/>
      <c r="L278" s="140"/>
      <c r="M278" s="132">
        <f t="shared" si="80"/>
        <v>0</v>
      </c>
      <c r="N278" s="13">
        <v>10</v>
      </c>
      <c r="O278" s="14" t="s">
        <v>820</v>
      </c>
      <c r="P278" s="94" t="s">
        <v>28</v>
      </c>
      <c r="Q278" s="59" t="s">
        <v>821</v>
      </c>
      <c r="R278" s="12"/>
    </row>
    <row r="279" spans="2:18" ht="102" x14ac:dyDescent="0.25">
      <c r="B279" s="14"/>
      <c r="C279" s="59" t="s">
        <v>941</v>
      </c>
      <c r="D279" s="136">
        <f t="shared" si="77"/>
        <v>18.113590000000002</v>
      </c>
      <c r="E279" s="140">
        <v>8.4758600000000008</v>
      </c>
      <c r="F279" s="141">
        <v>9.6377299999999995</v>
      </c>
      <c r="G279" s="136">
        <f t="shared" si="81"/>
        <v>18.113590000000002</v>
      </c>
      <c r="H279" s="140">
        <v>8.4758600000000008</v>
      </c>
      <c r="I279" s="141">
        <v>9.6377299999999995</v>
      </c>
      <c r="J279" s="136">
        <f t="shared" si="82"/>
        <v>0</v>
      </c>
      <c r="K279" s="140"/>
      <c r="L279" s="140"/>
      <c r="M279" s="132">
        <f t="shared" si="80"/>
        <v>0</v>
      </c>
      <c r="N279" s="13">
        <v>25</v>
      </c>
      <c r="O279" s="14" t="s">
        <v>820</v>
      </c>
      <c r="P279" s="94" t="s">
        <v>28</v>
      </c>
      <c r="Q279" s="59" t="s">
        <v>821</v>
      </c>
      <c r="R279" s="12"/>
    </row>
    <row r="280" spans="2:18" ht="102" x14ac:dyDescent="0.25">
      <c r="B280" s="14"/>
      <c r="C280" s="59" t="s">
        <v>942</v>
      </c>
      <c r="D280" s="136">
        <f t="shared" ref="D280:D281" si="83">E280+F280</f>
        <v>29.007620000000003</v>
      </c>
      <c r="E280" s="140">
        <v>13.587770000000001</v>
      </c>
      <c r="F280" s="141">
        <v>15.41985</v>
      </c>
      <c r="G280" s="136">
        <f t="shared" ref="G280:G281" si="84">H280+I280</f>
        <v>29.007620000000003</v>
      </c>
      <c r="H280" s="140">
        <v>13.587770000000001</v>
      </c>
      <c r="I280" s="141">
        <v>15.41985</v>
      </c>
      <c r="J280" s="136">
        <f t="shared" ref="J280:J281" si="85">K280+L280</f>
        <v>0</v>
      </c>
      <c r="K280" s="140"/>
      <c r="L280" s="140"/>
      <c r="M280" s="132">
        <f t="shared" si="80"/>
        <v>0</v>
      </c>
      <c r="N280" s="13">
        <v>30</v>
      </c>
      <c r="O280" s="14" t="s">
        <v>820</v>
      </c>
      <c r="P280" s="94" t="s">
        <v>28</v>
      </c>
      <c r="Q280" s="59" t="s">
        <v>821</v>
      </c>
      <c r="R280" s="12"/>
    </row>
    <row r="281" spans="2:18" ht="331.5" x14ac:dyDescent="0.25">
      <c r="B281" s="14"/>
      <c r="C281" s="59" t="s">
        <v>935</v>
      </c>
      <c r="D281" s="136">
        <f t="shared" si="83"/>
        <v>155.69633999999999</v>
      </c>
      <c r="E281" s="140">
        <v>62.810279999999999</v>
      </c>
      <c r="F281" s="141">
        <v>92.886060000000001</v>
      </c>
      <c r="G281" s="136">
        <f t="shared" si="84"/>
        <v>155.69633999999999</v>
      </c>
      <c r="H281" s="140">
        <v>62.810279999999999</v>
      </c>
      <c r="I281" s="141">
        <v>92.886060000000001</v>
      </c>
      <c r="J281" s="136">
        <f t="shared" si="85"/>
        <v>42.844000000000001</v>
      </c>
      <c r="K281" s="140">
        <v>8.1820000000000004</v>
      </c>
      <c r="L281" s="140">
        <f>7.25289+27.40911</f>
        <v>34.661999999999999</v>
      </c>
      <c r="M281" s="132">
        <f t="shared" si="80"/>
        <v>27.517666760824309</v>
      </c>
      <c r="N281" s="13">
        <v>90</v>
      </c>
      <c r="O281" s="14" t="s">
        <v>830</v>
      </c>
      <c r="P281" s="94" t="s">
        <v>735</v>
      </c>
      <c r="Q281" s="59" t="s">
        <v>829</v>
      </c>
      <c r="R281" s="12"/>
    </row>
    <row r="282" spans="2:18" ht="76.5" x14ac:dyDescent="0.25">
      <c r="B282" s="14"/>
      <c r="C282" s="59" t="s">
        <v>943</v>
      </c>
      <c r="D282" s="136">
        <f t="shared" ref="D282:D284" si="86">E282+F282</f>
        <v>348.68720999999999</v>
      </c>
      <c r="E282" s="140">
        <v>129.61911000000001</v>
      </c>
      <c r="F282" s="141">
        <f>235.0681-16</f>
        <v>219.06809999999999</v>
      </c>
      <c r="G282" s="136">
        <f t="shared" ref="G282:G284" si="87">H282+I282</f>
        <v>446.59416999999996</v>
      </c>
      <c r="H282" s="140">
        <v>211.52607</v>
      </c>
      <c r="I282" s="141">
        <v>235.06809999999999</v>
      </c>
      <c r="J282" s="136">
        <f t="shared" ref="J282:J284" si="88">K282+L282</f>
        <v>0</v>
      </c>
      <c r="K282" s="140"/>
      <c r="L282" s="140"/>
      <c r="M282" s="132">
        <f t="shared" si="80"/>
        <v>0</v>
      </c>
      <c r="N282" s="13">
        <v>60</v>
      </c>
      <c r="O282" s="14" t="s">
        <v>823</v>
      </c>
      <c r="P282" s="94" t="s">
        <v>747</v>
      </c>
      <c r="Q282" s="59" t="s">
        <v>822</v>
      </c>
      <c r="R282" s="12"/>
    </row>
    <row r="283" spans="2:18" ht="144" customHeight="1" x14ac:dyDescent="0.25">
      <c r="B283" s="14"/>
      <c r="C283" s="59" t="s">
        <v>944</v>
      </c>
      <c r="D283" s="136">
        <f t="shared" si="86"/>
        <v>85.472059999999999</v>
      </c>
      <c r="E283" s="140">
        <v>45.261499999999998</v>
      </c>
      <c r="F283" s="141">
        <f>44.21056-4</f>
        <v>40.210560000000001</v>
      </c>
      <c r="G283" s="136">
        <f t="shared" si="87"/>
        <v>89.472059999999999</v>
      </c>
      <c r="H283" s="140">
        <v>45.261499999999998</v>
      </c>
      <c r="I283" s="141">
        <v>44.210560000000001</v>
      </c>
      <c r="J283" s="136">
        <f t="shared" si="88"/>
        <v>0</v>
      </c>
      <c r="K283" s="140"/>
      <c r="L283" s="140"/>
      <c r="M283" s="132">
        <f t="shared" si="80"/>
        <v>0</v>
      </c>
      <c r="N283" s="13">
        <v>90</v>
      </c>
      <c r="O283" s="14" t="s">
        <v>824</v>
      </c>
      <c r="P283" s="94" t="s">
        <v>748</v>
      </c>
      <c r="Q283" s="59" t="s">
        <v>92</v>
      </c>
      <c r="R283" s="12"/>
    </row>
    <row r="284" spans="2:18" ht="186.75" customHeight="1" x14ac:dyDescent="0.25">
      <c r="B284" s="14"/>
      <c r="C284" s="59" t="s">
        <v>945</v>
      </c>
      <c r="D284" s="136">
        <f t="shared" si="86"/>
        <v>133.51337000000001</v>
      </c>
      <c r="E284" s="140">
        <f>64.25777-1.92812</f>
        <v>62.329649999999994</v>
      </c>
      <c r="F284" s="141">
        <f>79.12296-7.93924</f>
        <v>71.183720000000008</v>
      </c>
      <c r="G284" s="136">
        <f t="shared" si="87"/>
        <v>143.38073</v>
      </c>
      <c r="H284" s="140">
        <v>64.257769999999994</v>
      </c>
      <c r="I284" s="141">
        <v>79.122960000000006</v>
      </c>
      <c r="J284" s="136">
        <f t="shared" si="88"/>
        <v>0</v>
      </c>
      <c r="K284" s="140"/>
      <c r="L284" s="140"/>
      <c r="M284" s="132">
        <f t="shared" ref="M284" si="89">J284/D284%</f>
        <v>0</v>
      </c>
      <c r="N284" s="13">
        <v>80</v>
      </c>
      <c r="O284" s="14" t="s">
        <v>831</v>
      </c>
      <c r="P284" s="94" t="s">
        <v>749</v>
      </c>
      <c r="Q284" s="59" t="s">
        <v>212</v>
      </c>
      <c r="R284" s="12"/>
    </row>
    <row r="285" spans="2:18" ht="12.75" x14ac:dyDescent="0.25">
      <c r="B285" s="17"/>
      <c r="C285" s="4" t="s">
        <v>19</v>
      </c>
      <c r="D285" s="136">
        <f t="shared" si="71"/>
        <v>1130.3582799999999</v>
      </c>
      <c r="E285" s="136">
        <f>SUM(E259:E284)</f>
        <v>427.27372000000003</v>
      </c>
      <c r="F285" s="136">
        <f>SUM(F259:F284)</f>
        <v>703.0845599999999</v>
      </c>
      <c r="G285" s="136">
        <f t="shared" si="72"/>
        <v>1187.8370399999999</v>
      </c>
      <c r="H285" s="136">
        <f>SUM(H259:H284)</f>
        <v>519.83704</v>
      </c>
      <c r="I285" s="136">
        <f>SUM(I259:I284)</f>
        <v>668</v>
      </c>
      <c r="J285" s="136">
        <f t="shared" si="73"/>
        <v>115.43348</v>
      </c>
      <c r="K285" s="136">
        <f>SUM(K259:K284)</f>
        <v>32.542179999999995</v>
      </c>
      <c r="L285" s="136">
        <f>SUM(L259:L284)</f>
        <v>82.891300000000001</v>
      </c>
      <c r="M285" s="132">
        <f t="shared" si="69"/>
        <v>10.212114339534896</v>
      </c>
      <c r="N285" s="13"/>
      <c r="O285" s="14"/>
      <c r="P285" s="22"/>
      <c r="Q285" s="30"/>
      <c r="R285" s="26"/>
    </row>
    <row r="286" spans="2:18" ht="38.25" x14ac:dyDescent="0.25">
      <c r="B286" s="17" t="s">
        <v>258</v>
      </c>
      <c r="C286" s="27" t="s">
        <v>259</v>
      </c>
      <c r="D286" s="136"/>
      <c r="E286" s="135"/>
      <c r="F286" s="135"/>
      <c r="G286" s="136"/>
      <c r="H286" s="136"/>
      <c r="I286" s="137"/>
      <c r="J286" s="136"/>
      <c r="K286" s="136"/>
      <c r="L286" s="136"/>
      <c r="M286" s="132"/>
      <c r="N286" s="13"/>
      <c r="O286" s="10"/>
      <c r="P286" s="11"/>
      <c r="Q286" s="10"/>
      <c r="R286" s="12"/>
    </row>
    <row r="287" spans="2:18" ht="229.5" customHeight="1" x14ac:dyDescent="0.25">
      <c r="B287" s="14"/>
      <c r="C287" s="71" t="s">
        <v>260</v>
      </c>
      <c r="D287" s="136">
        <f t="shared" si="71"/>
        <v>25.390999999999998</v>
      </c>
      <c r="E287" s="144">
        <v>25.390999999999998</v>
      </c>
      <c r="F287" s="153"/>
      <c r="G287" s="136">
        <f t="shared" si="72"/>
        <v>25.390999999999998</v>
      </c>
      <c r="H287" s="144">
        <v>25.390999999999998</v>
      </c>
      <c r="I287" s="144"/>
      <c r="J287" s="136">
        <f t="shared" si="73"/>
        <v>25.390999999999998</v>
      </c>
      <c r="K287" s="144">
        <v>25.390999999999998</v>
      </c>
      <c r="L287" s="140"/>
      <c r="M287" s="132">
        <f t="shared" si="69"/>
        <v>100</v>
      </c>
      <c r="N287" s="13"/>
      <c r="O287" s="72" t="s">
        <v>261</v>
      </c>
      <c r="P287" s="44" t="s">
        <v>262</v>
      </c>
      <c r="Q287" s="34" t="s">
        <v>263</v>
      </c>
      <c r="R287" s="12"/>
    </row>
    <row r="288" spans="2:18" ht="151.5" customHeight="1" x14ac:dyDescent="0.25">
      <c r="B288" s="14"/>
      <c r="C288" s="63" t="s">
        <v>264</v>
      </c>
      <c r="D288" s="136">
        <f t="shared" si="71"/>
        <v>121.44498</v>
      </c>
      <c r="E288" s="136">
        <v>121.44498</v>
      </c>
      <c r="F288" s="136"/>
      <c r="G288" s="136">
        <f t="shared" si="72"/>
        <v>121.44498</v>
      </c>
      <c r="H288" s="136">
        <v>121.44498</v>
      </c>
      <c r="I288" s="144"/>
      <c r="J288" s="136">
        <f t="shared" si="73"/>
        <v>121.44498</v>
      </c>
      <c r="K288" s="144">
        <f>30+30.72249+60.72249</f>
        <v>121.44498</v>
      </c>
      <c r="L288" s="140"/>
      <c r="M288" s="132">
        <f t="shared" si="69"/>
        <v>100.00000000000001</v>
      </c>
      <c r="N288" s="13"/>
      <c r="O288" s="97" t="s">
        <v>265</v>
      </c>
      <c r="P288" s="44"/>
      <c r="Q288" s="34" t="s">
        <v>266</v>
      </c>
      <c r="R288" s="12"/>
    </row>
    <row r="289" spans="2:18" ht="231" customHeight="1" x14ac:dyDescent="0.25">
      <c r="B289" s="14"/>
      <c r="C289" s="71" t="s">
        <v>607</v>
      </c>
      <c r="D289" s="136">
        <f t="shared" si="71"/>
        <v>435</v>
      </c>
      <c r="E289" s="144">
        <v>435</v>
      </c>
      <c r="F289" s="136"/>
      <c r="G289" s="136">
        <f t="shared" si="72"/>
        <v>643.06989999999996</v>
      </c>
      <c r="H289" s="144">
        <v>643.06989999999996</v>
      </c>
      <c r="I289" s="144"/>
      <c r="J289" s="136">
        <f t="shared" si="73"/>
        <v>377.19399999999996</v>
      </c>
      <c r="K289" s="144">
        <f>50.623+73.456+50.623+50.623+50.623+50.623+50.623</f>
        <v>377.19399999999996</v>
      </c>
      <c r="L289" s="140"/>
      <c r="M289" s="132">
        <f t="shared" si="69"/>
        <v>86.711264367816085</v>
      </c>
      <c r="N289" s="13"/>
      <c r="O289" s="105" t="s">
        <v>916</v>
      </c>
      <c r="P289" s="44">
        <v>6</v>
      </c>
      <c r="Q289" s="34" t="s">
        <v>263</v>
      </c>
      <c r="R289" s="12"/>
    </row>
    <row r="290" spans="2:18" ht="156.75" customHeight="1" x14ac:dyDescent="0.25">
      <c r="B290" s="14"/>
      <c r="C290" s="71" t="s">
        <v>267</v>
      </c>
      <c r="D290" s="136">
        <f t="shared" si="71"/>
        <v>108.815</v>
      </c>
      <c r="E290" s="144">
        <v>108.815</v>
      </c>
      <c r="F290" s="136"/>
      <c r="G290" s="136">
        <f t="shared" si="72"/>
        <v>153.97800000000001</v>
      </c>
      <c r="H290" s="144">
        <v>153.97800000000001</v>
      </c>
      <c r="I290" s="144"/>
      <c r="J290" s="136">
        <f t="shared" si="73"/>
        <v>92.203999999999994</v>
      </c>
      <c r="K290" s="144">
        <f>12.386+18.772+12.386+11.502+12.386+12.386+12.386</f>
        <v>92.203999999999994</v>
      </c>
      <c r="L290" s="140"/>
      <c r="M290" s="132">
        <f t="shared" si="69"/>
        <v>84.734641363782558</v>
      </c>
      <c r="N290" s="13"/>
      <c r="O290" s="97" t="s">
        <v>268</v>
      </c>
      <c r="P290" s="44" t="s">
        <v>269</v>
      </c>
      <c r="Q290" s="34" t="s">
        <v>270</v>
      </c>
      <c r="R290" s="12"/>
    </row>
    <row r="291" spans="2:18" ht="89.25" customHeight="1" x14ac:dyDescent="0.25">
      <c r="B291" s="14"/>
      <c r="C291" s="28" t="s">
        <v>271</v>
      </c>
      <c r="D291" s="136">
        <f t="shared" si="71"/>
        <v>4.9000000000000004</v>
      </c>
      <c r="E291" s="144">
        <v>4.9000000000000004</v>
      </c>
      <c r="F291" s="136"/>
      <c r="G291" s="136">
        <f t="shared" si="72"/>
        <v>4.9000000000000004</v>
      </c>
      <c r="H291" s="144">
        <v>4.9000000000000004</v>
      </c>
      <c r="I291" s="144"/>
      <c r="J291" s="136">
        <f t="shared" si="73"/>
        <v>4.9000000000000004</v>
      </c>
      <c r="K291" s="144">
        <v>4.9000000000000004</v>
      </c>
      <c r="L291" s="140"/>
      <c r="M291" s="132">
        <f t="shared" si="69"/>
        <v>100</v>
      </c>
      <c r="N291" s="13"/>
      <c r="O291" s="97" t="s">
        <v>272</v>
      </c>
      <c r="P291" s="44">
        <v>139</v>
      </c>
      <c r="Q291" s="34" t="s">
        <v>46</v>
      </c>
      <c r="R291" s="12"/>
    </row>
    <row r="292" spans="2:18" ht="12.75" x14ac:dyDescent="0.25">
      <c r="B292" s="14"/>
      <c r="C292" s="28"/>
      <c r="D292" s="136">
        <f t="shared" si="71"/>
        <v>6.8940000000000001</v>
      </c>
      <c r="E292" s="144">
        <v>6.8940000000000001</v>
      </c>
      <c r="F292" s="136"/>
      <c r="G292" s="136"/>
      <c r="H292" s="144"/>
      <c r="I292" s="144"/>
      <c r="J292" s="136"/>
      <c r="K292" s="144"/>
      <c r="L292" s="140"/>
      <c r="M292" s="132"/>
      <c r="N292" s="13"/>
      <c r="O292" s="97"/>
      <c r="P292" s="44"/>
      <c r="Q292" s="34"/>
      <c r="R292" s="12"/>
    </row>
    <row r="293" spans="2:18" ht="12.75" x14ac:dyDescent="0.25">
      <c r="B293" s="17"/>
      <c r="C293" s="55" t="s">
        <v>19</v>
      </c>
      <c r="D293" s="136">
        <f t="shared" si="71"/>
        <v>702.4449800000001</v>
      </c>
      <c r="E293" s="154">
        <f>SUM(E287:E292)</f>
        <v>702.4449800000001</v>
      </c>
      <c r="F293" s="154">
        <f>SUM(F287:F291)</f>
        <v>0</v>
      </c>
      <c r="G293" s="136">
        <f t="shared" si="72"/>
        <v>948.78388000000007</v>
      </c>
      <c r="H293" s="154">
        <f>SUM(H287:H291)</f>
        <v>948.78388000000007</v>
      </c>
      <c r="I293" s="154">
        <f>SUM(I287:I291)</f>
        <v>0</v>
      </c>
      <c r="J293" s="136">
        <f t="shared" si="73"/>
        <v>621.13397999999995</v>
      </c>
      <c r="K293" s="154">
        <f>SUM(K287:K291)</f>
        <v>621.13397999999995</v>
      </c>
      <c r="L293" s="154">
        <f>SUM(L287:L291)</f>
        <v>0</v>
      </c>
      <c r="M293" s="132">
        <f t="shared" si="69"/>
        <v>88.424573836373611</v>
      </c>
      <c r="N293" s="13"/>
      <c r="O293" s="14"/>
      <c r="P293" s="22"/>
      <c r="Q293" s="23"/>
      <c r="R293" s="12"/>
    </row>
    <row r="294" spans="2:18" ht="51" x14ac:dyDescent="0.25">
      <c r="B294" s="17" t="s">
        <v>273</v>
      </c>
      <c r="C294" s="4" t="s">
        <v>274</v>
      </c>
      <c r="D294" s="136"/>
      <c r="E294" s="135"/>
      <c r="F294" s="135"/>
      <c r="G294" s="136"/>
      <c r="H294" s="136"/>
      <c r="I294" s="137"/>
      <c r="J294" s="136"/>
      <c r="K294" s="136"/>
      <c r="L294" s="136"/>
      <c r="M294" s="132"/>
      <c r="N294" s="13"/>
      <c r="O294" s="10"/>
      <c r="P294" s="11"/>
      <c r="Q294" s="10"/>
      <c r="R294" s="12"/>
    </row>
    <row r="295" spans="2:18" ht="204.75" x14ac:dyDescent="0.25">
      <c r="B295" s="73"/>
      <c r="C295" s="74" t="s">
        <v>275</v>
      </c>
      <c r="D295" s="136">
        <f t="shared" si="71"/>
        <v>413.18072999999998</v>
      </c>
      <c r="E295" s="154">
        <v>64.127750000000006</v>
      </c>
      <c r="F295" s="154">
        <v>349.05297999999999</v>
      </c>
      <c r="G295" s="136">
        <f t="shared" si="72"/>
        <v>505.03575000000001</v>
      </c>
      <c r="H295" s="147">
        <v>68.719769999999997</v>
      </c>
      <c r="I295" s="147">
        <v>436.31598000000002</v>
      </c>
      <c r="J295" s="136">
        <f t="shared" si="73"/>
        <v>28.603739999999998</v>
      </c>
      <c r="K295" s="147">
        <v>1.43018</v>
      </c>
      <c r="L295" s="147">
        <v>27.173559999999998</v>
      </c>
      <c r="M295" s="132">
        <f t="shared" si="69"/>
        <v>6.9228155921017898</v>
      </c>
      <c r="N295" s="13">
        <v>40</v>
      </c>
      <c r="O295" s="36" t="s">
        <v>276</v>
      </c>
      <c r="P295" s="94" t="s">
        <v>277</v>
      </c>
      <c r="Q295" s="74" t="s">
        <v>228</v>
      </c>
      <c r="R295" s="26" t="s">
        <v>839</v>
      </c>
    </row>
    <row r="296" spans="2:18" ht="76.5" x14ac:dyDescent="0.25">
      <c r="B296" s="17"/>
      <c r="C296" s="25" t="s">
        <v>531</v>
      </c>
      <c r="D296" s="136">
        <f t="shared" si="71"/>
        <v>22</v>
      </c>
      <c r="E296" s="147">
        <v>22</v>
      </c>
      <c r="F296" s="147"/>
      <c r="G296" s="136">
        <f t="shared" si="72"/>
        <v>34</v>
      </c>
      <c r="H296" s="147">
        <v>34</v>
      </c>
      <c r="I296" s="147"/>
      <c r="J296" s="136">
        <f t="shared" si="73"/>
        <v>4.3330700000000002</v>
      </c>
      <c r="K296" s="147">
        <v>4.3330700000000002</v>
      </c>
      <c r="L296" s="147"/>
      <c r="M296" s="132">
        <f t="shared" si="69"/>
        <v>19.695772727272729</v>
      </c>
      <c r="N296" s="13"/>
      <c r="O296" s="14" t="s">
        <v>529</v>
      </c>
      <c r="P296" s="94" t="s">
        <v>457</v>
      </c>
      <c r="Q296" s="40" t="s">
        <v>530</v>
      </c>
      <c r="R296" s="12"/>
    </row>
    <row r="297" spans="2:18" ht="140.25" customHeight="1" x14ac:dyDescent="0.25">
      <c r="B297" s="17"/>
      <c r="C297" s="25" t="s">
        <v>685</v>
      </c>
      <c r="D297" s="136">
        <f t="shared" si="71"/>
        <v>1.764</v>
      </c>
      <c r="E297" s="147">
        <v>1.764</v>
      </c>
      <c r="F297" s="147"/>
      <c r="G297" s="136">
        <f t="shared" si="72"/>
        <v>1.764</v>
      </c>
      <c r="H297" s="147">
        <v>1.764</v>
      </c>
      <c r="I297" s="147"/>
      <c r="J297" s="136">
        <f t="shared" si="73"/>
        <v>1.764</v>
      </c>
      <c r="K297" s="147">
        <v>1.764</v>
      </c>
      <c r="L297" s="147"/>
      <c r="M297" s="132">
        <f t="shared" si="69"/>
        <v>100</v>
      </c>
      <c r="N297" s="13"/>
      <c r="O297" s="14" t="s">
        <v>838</v>
      </c>
      <c r="P297" s="94" t="s">
        <v>686</v>
      </c>
      <c r="Q297" s="40" t="s">
        <v>687</v>
      </c>
      <c r="R297" s="12"/>
    </row>
    <row r="298" spans="2:18" ht="67.5" customHeight="1" x14ac:dyDescent="0.25">
      <c r="B298" s="17"/>
      <c r="C298" s="25" t="s">
        <v>894</v>
      </c>
      <c r="D298" s="136">
        <f t="shared" si="71"/>
        <v>0.14399999999999999</v>
      </c>
      <c r="E298" s="147">
        <v>0.14399999999999999</v>
      </c>
      <c r="F298" s="147"/>
      <c r="G298" s="136">
        <f t="shared" si="72"/>
        <v>0.14399999999999999</v>
      </c>
      <c r="H298" s="147">
        <v>0.14399999999999999</v>
      </c>
      <c r="I298" s="147"/>
      <c r="J298" s="136">
        <f t="shared" si="73"/>
        <v>0.14399999999999999</v>
      </c>
      <c r="K298" s="147">
        <v>0.14399999999999999</v>
      </c>
      <c r="L298" s="147"/>
      <c r="M298" s="132">
        <f t="shared" si="69"/>
        <v>100</v>
      </c>
      <c r="N298" s="13"/>
      <c r="O298" s="14" t="s">
        <v>837</v>
      </c>
      <c r="P298" s="94" t="s">
        <v>688</v>
      </c>
      <c r="Q298" s="40" t="s">
        <v>689</v>
      </c>
      <c r="R298" s="12"/>
    </row>
    <row r="299" spans="2:18" ht="63.75" x14ac:dyDescent="0.25">
      <c r="B299" s="17"/>
      <c r="C299" s="25" t="s">
        <v>750</v>
      </c>
      <c r="D299" s="136">
        <f t="shared" si="71"/>
        <v>1.1599999999999999</v>
      </c>
      <c r="E299" s="147">
        <v>1.1599999999999999</v>
      </c>
      <c r="F299" s="147"/>
      <c r="G299" s="136">
        <f t="shared" si="72"/>
        <v>1.1599999999999999</v>
      </c>
      <c r="H299" s="147">
        <v>1.1599999999999999</v>
      </c>
      <c r="I299" s="147"/>
      <c r="J299" s="136">
        <f t="shared" si="73"/>
        <v>1.1599999999999999</v>
      </c>
      <c r="K299" s="147">
        <v>1.1599999999999999</v>
      </c>
      <c r="L299" s="147"/>
      <c r="M299" s="132">
        <f t="shared" si="69"/>
        <v>100</v>
      </c>
      <c r="N299" s="13"/>
      <c r="O299" s="14" t="s">
        <v>836</v>
      </c>
      <c r="P299" s="94" t="s">
        <v>751</v>
      </c>
      <c r="Q299" s="40" t="s">
        <v>752</v>
      </c>
      <c r="R299" s="12"/>
    </row>
    <row r="300" spans="2:18" ht="12.75" x14ac:dyDescent="0.25">
      <c r="B300" s="17"/>
      <c r="C300" s="25"/>
      <c r="D300" s="136">
        <f t="shared" si="71"/>
        <v>4.4882499999999999</v>
      </c>
      <c r="E300" s="147">
        <v>4.4882499999999999</v>
      </c>
      <c r="F300" s="147"/>
      <c r="G300" s="136"/>
      <c r="H300" s="147"/>
      <c r="I300" s="147"/>
      <c r="J300" s="136"/>
      <c r="K300" s="147"/>
      <c r="L300" s="147"/>
      <c r="M300" s="132"/>
      <c r="N300" s="13"/>
      <c r="O300" s="14"/>
      <c r="P300" s="94"/>
      <c r="Q300" s="40"/>
      <c r="R300" s="12"/>
    </row>
    <row r="301" spans="2:18" ht="12.75" x14ac:dyDescent="0.25">
      <c r="B301" s="17"/>
      <c r="C301" s="75" t="s">
        <v>19</v>
      </c>
      <c r="D301" s="155">
        <f t="shared" si="71"/>
        <v>442.73698000000002</v>
      </c>
      <c r="E301" s="156">
        <f>SUM(E295:E300)</f>
        <v>93.683999999999997</v>
      </c>
      <c r="F301" s="156">
        <f>SUM(F295:F299)</f>
        <v>349.05297999999999</v>
      </c>
      <c r="G301" s="155">
        <f t="shared" si="72"/>
        <v>542.10374999999999</v>
      </c>
      <c r="H301" s="156">
        <f>SUM(H295:H299)</f>
        <v>105.78776999999999</v>
      </c>
      <c r="I301" s="156">
        <f>SUM(I295:I299)</f>
        <v>436.31598000000002</v>
      </c>
      <c r="J301" s="155">
        <f t="shared" si="73"/>
        <v>36.004809999999999</v>
      </c>
      <c r="K301" s="156">
        <f>SUM(K295:K299)</f>
        <v>8.8312500000000007</v>
      </c>
      <c r="L301" s="156">
        <f>SUM(L295:L299)</f>
        <v>27.173559999999998</v>
      </c>
      <c r="M301" s="15">
        <f t="shared" si="69"/>
        <v>8.1323249754289773</v>
      </c>
      <c r="N301" s="13"/>
      <c r="O301" s="14"/>
      <c r="P301" s="22"/>
      <c r="Q301" s="23"/>
      <c r="R301" s="12"/>
    </row>
    <row r="302" spans="2:18" ht="51" hidden="1" x14ac:dyDescent="0.25">
      <c r="B302" s="17" t="s">
        <v>278</v>
      </c>
      <c r="C302" s="76" t="s">
        <v>279</v>
      </c>
      <c r="D302" s="155"/>
      <c r="E302" s="157"/>
      <c r="F302" s="157"/>
      <c r="G302" s="155"/>
      <c r="H302" s="157"/>
      <c r="I302" s="157"/>
      <c r="J302" s="155"/>
      <c r="K302" s="157"/>
      <c r="L302" s="157"/>
      <c r="M302" s="15"/>
      <c r="N302" s="13"/>
      <c r="O302" s="17"/>
      <c r="P302" s="54"/>
      <c r="Q302" s="77"/>
      <c r="R302" s="12"/>
    </row>
    <row r="303" spans="2:18" ht="12.75" hidden="1" x14ac:dyDescent="0.25">
      <c r="B303" s="14"/>
      <c r="C303" s="71"/>
      <c r="D303" s="155">
        <f t="shared" si="71"/>
        <v>0</v>
      </c>
      <c r="E303" s="157"/>
      <c r="F303" s="157"/>
      <c r="G303" s="155">
        <f t="shared" si="72"/>
        <v>0</v>
      </c>
      <c r="H303" s="157"/>
      <c r="I303" s="157"/>
      <c r="J303" s="155">
        <f t="shared" si="73"/>
        <v>0</v>
      </c>
      <c r="K303" s="157"/>
      <c r="L303" s="157"/>
      <c r="M303" s="15" t="e">
        <f t="shared" si="69"/>
        <v>#DIV/0!</v>
      </c>
      <c r="N303" s="13"/>
      <c r="O303" s="14"/>
      <c r="P303" s="94"/>
      <c r="Q303" s="78"/>
      <c r="R303" s="12"/>
    </row>
    <row r="304" spans="2:18" ht="12.75" hidden="1" x14ac:dyDescent="0.25">
      <c r="B304" s="17"/>
      <c r="C304" s="76"/>
      <c r="D304" s="155">
        <f t="shared" si="71"/>
        <v>0</v>
      </c>
      <c r="E304" s="157"/>
      <c r="F304" s="157"/>
      <c r="G304" s="155">
        <f t="shared" si="72"/>
        <v>0</v>
      </c>
      <c r="H304" s="157"/>
      <c r="I304" s="157"/>
      <c r="J304" s="155">
        <f t="shared" si="73"/>
        <v>0</v>
      </c>
      <c r="K304" s="157"/>
      <c r="L304" s="157"/>
      <c r="M304" s="15" t="e">
        <f t="shared" si="69"/>
        <v>#DIV/0!</v>
      </c>
      <c r="N304" s="13"/>
      <c r="O304" s="17"/>
      <c r="P304" s="54"/>
      <c r="Q304" s="77"/>
      <c r="R304" s="12"/>
    </row>
    <row r="305" spans="2:19" ht="12.75" hidden="1" x14ac:dyDescent="0.25">
      <c r="B305" s="17"/>
      <c r="C305" s="76"/>
      <c r="D305" s="155"/>
      <c r="E305" s="157"/>
      <c r="F305" s="157"/>
      <c r="G305" s="155"/>
      <c r="H305" s="157"/>
      <c r="I305" s="157"/>
      <c r="J305" s="155"/>
      <c r="K305" s="157"/>
      <c r="L305" s="157"/>
      <c r="M305" s="15" t="e">
        <f t="shared" si="69"/>
        <v>#DIV/0!</v>
      </c>
      <c r="N305" s="13"/>
      <c r="O305" s="17"/>
      <c r="P305" s="54"/>
      <c r="Q305" s="77"/>
      <c r="R305" s="12"/>
    </row>
    <row r="306" spans="2:19" ht="51" x14ac:dyDescent="0.25">
      <c r="B306" s="17" t="s">
        <v>280</v>
      </c>
      <c r="C306" s="27" t="s">
        <v>281</v>
      </c>
      <c r="D306" s="155"/>
      <c r="E306" s="138"/>
      <c r="F306" s="138"/>
      <c r="G306" s="155"/>
      <c r="H306" s="155"/>
      <c r="I306" s="158"/>
      <c r="J306" s="155"/>
      <c r="K306" s="155"/>
      <c r="L306" s="155"/>
      <c r="M306" s="15"/>
      <c r="N306" s="13"/>
      <c r="O306" s="10"/>
      <c r="P306" s="11"/>
      <c r="Q306" s="10"/>
      <c r="R306" s="12"/>
    </row>
    <row r="307" spans="2:19" ht="148.5" customHeight="1" x14ac:dyDescent="0.25">
      <c r="B307" s="14" t="s">
        <v>72</v>
      </c>
      <c r="C307" s="28" t="s">
        <v>297</v>
      </c>
      <c r="D307" s="136">
        <f t="shared" ref="D307:D311" si="90">E307+F307</f>
        <v>4.5999999999999996</v>
      </c>
      <c r="E307" s="139">
        <v>4.5999999999999996</v>
      </c>
      <c r="F307" s="139"/>
      <c r="G307" s="136">
        <f t="shared" ref="G307:G311" si="91">H307+I307</f>
        <v>4.5999999999999996</v>
      </c>
      <c r="H307" s="139">
        <v>4.5999999999999996</v>
      </c>
      <c r="I307" s="139"/>
      <c r="J307" s="136">
        <f t="shared" ref="J307:J311" si="92">K307+L307</f>
        <v>4.5999999999999996</v>
      </c>
      <c r="K307" s="139">
        <v>4.5999999999999996</v>
      </c>
      <c r="L307" s="140"/>
      <c r="M307" s="132">
        <f t="shared" ref="M307:M311" si="93">J307/D307%</f>
        <v>100</v>
      </c>
      <c r="N307" s="13"/>
      <c r="O307" s="98" t="s">
        <v>298</v>
      </c>
      <c r="P307" s="95" t="s">
        <v>299</v>
      </c>
      <c r="Q307" s="34" t="s">
        <v>300</v>
      </c>
      <c r="R307" s="12"/>
    </row>
    <row r="308" spans="2:19" ht="91.5" customHeight="1" x14ac:dyDescent="0.25">
      <c r="B308" s="17"/>
      <c r="C308" s="80" t="s">
        <v>301</v>
      </c>
      <c r="D308" s="136">
        <f t="shared" si="90"/>
        <v>3.96</v>
      </c>
      <c r="E308" s="139">
        <v>3.96</v>
      </c>
      <c r="F308" s="139"/>
      <c r="G308" s="136">
        <f t="shared" si="91"/>
        <v>3.96</v>
      </c>
      <c r="H308" s="139">
        <v>3.96</v>
      </c>
      <c r="I308" s="139"/>
      <c r="J308" s="136">
        <f t="shared" si="92"/>
        <v>3.96</v>
      </c>
      <c r="K308" s="139">
        <f>0.924+0.396+0.836+0.836+0.968</f>
        <v>3.96</v>
      </c>
      <c r="L308" s="140"/>
      <c r="M308" s="132">
        <f t="shared" si="93"/>
        <v>100.00000000000001</v>
      </c>
      <c r="N308" s="13"/>
      <c r="O308" s="98" t="s">
        <v>302</v>
      </c>
      <c r="P308" s="95" t="s">
        <v>303</v>
      </c>
      <c r="Q308" s="34" t="s">
        <v>304</v>
      </c>
      <c r="R308" s="12"/>
    </row>
    <row r="309" spans="2:19" ht="83.25" customHeight="1" x14ac:dyDescent="0.25">
      <c r="B309" s="17"/>
      <c r="C309" s="45" t="s">
        <v>313</v>
      </c>
      <c r="D309" s="136">
        <f t="shared" si="90"/>
        <v>5.44</v>
      </c>
      <c r="E309" s="140">
        <v>5.44</v>
      </c>
      <c r="F309" s="140"/>
      <c r="G309" s="136">
        <f t="shared" si="91"/>
        <v>5.44</v>
      </c>
      <c r="H309" s="140">
        <v>5.44</v>
      </c>
      <c r="I309" s="140"/>
      <c r="J309" s="136">
        <f t="shared" si="92"/>
        <v>5.4399999999999995</v>
      </c>
      <c r="K309" s="140">
        <f>1.292+1.36+1.292+1.496</f>
        <v>5.4399999999999995</v>
      </c>
      <c r="L309" s="140"/>
      <c r="M309" s="132">
        <f t="shared" si="93"/>
        <v>99.999999999999986</v>
      </c>
      <c r="N309" s="13"/>
      <c r="O309" s="97" t="s">
        <v>314</v>
      </c>
      <c r="P309" s="92" t="s">
        <v>315</v>
      </c>
      <c r="Q309" s="34" t="s">
        <v>316</v>
      </c>
      <c r="R309" s="12"/>
    </row>
    <row r="310" spans="2:19" ht="125.25" x14ac:dyDescent="0.25">
      <c r="B310" s="17"/>
      <c r="C310" s="39" t="s">
        <v>578</v>
      </c>
      <c r="D310" s="136">
        <f t="shared" si="90"/>
        <v>4.62</v>
      </c>
      <c r="E310" s="140">
        <v>4.62</v>
      </c>
      <c r="F310" s="140"/>
      <c r="G310" s="136">
        <f t="shared" si="91"/>
        <v>4.62</v>
      </c>
      <c r="H310" s="140">
        <v>4.62</v>
      </c>
      <c r="I310" s="140"/>
      <c r="J310" s="136">
        <f t="shared" si="92"/>
        <v>3.85</v>
      </c>
      <c r="K310" s="140">
        <f>1.19+1.33+1.33</f>
        <v>3.85</v>
      </c>
      <c r="L310" s="140"/>
      <c r="M310" s="132">
        <f t="shared" si="93"/>
        <v>83.333333333333343</v>
      </c>
      <c r="N310" s="13"/>
      <c r="O310" s="97" t="s">
        <v>579</v>
      </c>
      <c r="P310" s="92" t="s">
        <v>418</v>
      </c>
      <c r="Q310" s="25" t="s">
        <v>417</v>
      </c>
      <c r="R310" s="12"/>
    </row>
    <row r="311" spans="2:19" ht="179.25" customHeight="1" x14ac:dyDescent="0.25">
      <c r="B311" s="17"/>
      <c r="C311" s="25" t="s">
        <v>466</v>
      </c>
      <c r="D311" s="136">
        <f t="shared" si="90"/>
        <v>6.7</v>
      </c>
      <c r="E311" s="140">
        <v>6.7</v>
      </c>
      <c r="F311" s="140"/>
      <c r="G311" s="136">
        <f t="shared" si="91"/>
        <v>6.7</v>
      </c>
      <c r="H311" s="140">
        <v>6.7</v>
      </c>
      <c r="I311" s="140"/>
      <c r="J311" s="136">
        <f t="shared" si="92"/>
        <v>6.35</v>
      </c>
      <c r="K311" s="140">
        <f>0.35+3.8+0.2+2</f>
        <v>6.35</v>
      </c>
      <c r="L311" s="140"/>
      <c r="M311" s="132">
        <f t="shared" si="93"/>
        <v>94.77611940298506</v>
      </c>
      <c r="N311" s="13"/>
      <c r="O311" s="97" t="s">
        <v>587</v>
      </c>
      <c r="P311" s="92" t="s">
        <v>467</v>
      </c>
      <c r="Q311" s="25" t="s">
        <v>585</v>
      </c>
      <c r="R311" s="12"/>
    </row>
    <row r="312" spans="2:19" ht="24" customHeight="1" x14ac:dyDescent="0.25">
      <c r="B312" s="17"/>
      <c r="C312" s="96" t="s">
        <v>848</v>
      </c>
      <c r="D312" s="155"/>
      <c r="E312" s="135">
        <v>0.98</v>
      </c>
      <c r="F312" s="138"/>
      <c r="G312" s="155"/>
      <c r="H312" s="155"/>
      <c r="I312" s="158"/>
      <c r="J312" s="155"/>
      <c r="K312" s="155"/>
      <c r="L312" s="155"/>
      <c r="M312" s="15"/>
      <c r="N312" s="13"/>
      <c r="O312" s="10"/>
      <c r="P312" s="11"/>
      <c r="Q312" s="10"/>
      <c r="R312" s="12"/>
      <c r="S312" s="116"/>
    </row>
    <row r="313" spans="2:19" ht="82.5" customHeight="1" x14ac:dyDescent="0.25">
      <c r="B313" s="14"/>
      <c r="C313" s="28" t="s">
        <v>282</v>
      </c>
      <c r="D313" s="136">
        <f t="shared" si="71"/>
        <v>35.20673</v>
      </c>
      <c r="E313" s="153">
        <v>35.20673</v>
      </c>
      <c r="F313" s="153"/>
      <c r="G313" s="136">
        <f t="shared" si="72"/>
        <v>35.20673</v>
      </c>
      <c r="H313" s="153">
        <v>35.20673</v>
      </c>
      <c r="I313" s="153"/>
      <c r="J313" s="136">
        <f t="shared" si="73"/>
        <v>35.20673</v>
      </c>
      <c r="K313" s="153">
        <v>35.20673</v>
      </c>
      <c r="L313" s="140"/>
      <c r="M313" s="132">
        <f t="shared" si="69"/>
        <v>100</v>
      </c>
      <c r="N313" s="13">
        <v>100</v>
      </c>
      <c r="O313" s="14" t="s">
        <v>283</v>
      </c>
      <c r="P313" s="95" t="s">
        <v>284</v>
      </c>
      <c r="Q313" s="101" t="s">
        <v>285</v>
      </c>
      <c r="R313" s="12" t="s">
        <v>614</v>
      </c>
    </row>
    <row r="314" spans="2:19" ht="89.25" x14ac:dyDescent="0.25">
      <c r="B314" s="14"/>
      <c r="C314" s="28" t="s">
        <v>286</v>
      </c>
      <c r="D314" s="136">
        <f t="shared" si="71"/>
        <v>231.51884999999999</v>
      </c>
      <c r="E314" s="139"/>
      <c r="F314" s="139">
        <v>231.51884999999999</v>
      </c>
      <c r="G314" s="136">
        <f t="shared" si="72"/>
        <v>231.51884999999999</v>
      </c>
      <c r="H314" s="139"/>
      <c r="I314" s="139">
        <v>231.51884999999999</v>
      </c>
      <c r="J314" s="136">
        <f t="shared" si="73"/>
        <v>231.51885000000001</v>
      </c>
      <c r="K314" s="139"/>
      <c r="L314" s="152">
        <f>64.88618+56.80322+50.99563+2.72621+56.10761</f>
        <v>231.51885000000001</v>
      </c>
      <c r="M314" s="132">
        <f t="shared" si="69"/>
        <v>100.00000000000003</v>
      </c>
      <c r="N314" s="13">
        <v>100</v>
      </c>
      <c r="O314" s="14" t="s">
        <v>287</v>
      </c>
      <c r="P314" s="95">
        <v>130</v>
      </c>
      <c r="Q314" s="99" t="s">
        <v>288</v>
      </c>
      <c r="R314" s="12"/>
      <c r="S314" s="121"/>
    </row>
    <row r="315" spans="2:19" ht="78.75" customHeight="1" x14ac:dyDescent="0.25">
      <c r="B315" s="14"/>
      <c r="C315" s="79" t="s">
        <v>615</v>
      </c>
      <c r="D315" s="136">
        <f t="shared" si="71"/>
        <v>120.28867</v>
      </c>
      <c r="E315" s="139">
        <v>120.28867</v>
      </c>
      <c r="F315" s="139"/>
      <c r="G315" s="136">
        <f t="shared" si="72"/>
        <v>120.28867</v>
      </c>
      <c r="H315" s="139">
        <v>120.28867</v>
      </c>
      <c r="I315" s="139"/>
      <c r="J315" s="136">
        <f t="shared" si="73"/>
        <v>24.056000000000001</v>
      </c>
      <c r="K315" s="139">
        <v>24.056000000000001</v>
      </c>
      <c r="L315" s="140"/>
      <c r="M315" s="132">
        <f t="shared" si="69"/>
        <v>19.998558467726017</v>
      </c>
      <c r="N315" s="13">
        <v>10</v>
      </c>
      <c r="O315" s="14" t="s">
        <v>289</v>
      </c>
      <c r="P315" s="95" t="s">
        <v>290</v>
      </c>
      <c r="Q315" s="101" t="s">
        <v>291</v>
      </c>
      <c r="R315" s="12"/>
    </row>
    <row r="316" spans="2:19" ht="60.75" x14ac:dyDescent="0.25">
      <c r="B316" s="14"/>
      <c r="C316" s="28" t="s">
        <v>292</v>
      </c>
      <c r="D316" s="136">
        <f t="shared" si="71"/>
        <v>146.95289</v>
      </c>
      <c r="E316" s="139">
        <v>146.95289</v>
      </c>
      <c r="F316" s="139"/>
      <c r="G316" s="136">
        <f t="shared" si="72"/>
        <v>284.78755999999998</v>
      </c>
      <c r="H316" s="139">
        <v>284.78755999999998</v>
      </c>
      <c r="I316" s="139"/>
      <c r="J316" s="136">
        <f t="shared" si="73"/>
        <v>146.95289</v>
      </c>
      <c r="K316" s="139">
        <f>60+77.15132+9.80157</f>
        <v>146.95289</v>
      </c>
      <c r="L316" s="140"/>
      <c r="M316" s="132">
        <f t="shared" si="69"/>
        <v>100</v>
      </c>
      <c r="N316" s="13">
        <v>100</v>
      </c>
      <c r="O316" s="46" t="s">
        <v>293</v>
      </c>
      <c r="P316" s="95">
        <v>103</v>
      </c>
      <c r="Q316" s="101" t="s">
        <v>291</v>
      </c>
      <c r="R316" s="12" t="s">
        <v>846</v>
      </c>
    </row>
    <row r="317" spans="2:19" ht="60.75" x14ac:dyDescent="0.25">
      <c r="B317" s="14"/>
      <c r="C317" s="28" t="s">
        <v>294</v>
      </c>
      <c r="D317" s="136">
        <f t="shared" si="71"/>
        <v>110.59381999999999</v>
      </c>
      <c r="E317" s="139">
        <v>110.59381999999999</v>
      </c>
      <c r="F317" s="139"/>
      <c r="G317" s="136">
        <f t="shared" si="72"/>
        <v>293.32853</v>
      </c>
      <c r="H317" s="139">
        <v>293.32853</v>
      </c>
      <c r="I317" s="139"/>
      <c r="J317" s="136">
        <f t="shared" si="73"/>
        <v>106.01395000000001</v>
      </c>
      <c r="K317" s="139">
        <f>45.26718+59.28012+1.46665</f>
        <v>106.01395000000001</v>
      </c>
      <c r="L317" s="140"/>
      <c r="M317" s="132">
        <f t="shared" si="69"/>
        <v>95.858837320204699</v>
      </c>
      <c r="N317" s="13">
        <v>100</v>
      </c>
      <c r="O317" s="98" t="s">
        <v>295</v>
      </c>
      <c r="P317" s="95" t="s">
        <v>296</v>
      </c>
      <c r="Q317" s="101" t="s">
        <v>291</v>
      </c>
      <c r="R317" s="12" t="s">
        <v>845</v>
      </c>
    </row>
    <row r="318" spans="2:19" ht="228.75" x14ac:dyDescent="0.25">
      <c r="B318" s="14"/>
      <c r="C318" s="28" t="s">
        <v>305</v>
      </c>
      <c r="D318" s="136">
        <f t="shared" si="71"/>
        <v>1.1227499999999999</v>
      </c>
      <c r="E318" s="139">
        <v>1.1227499999999999</v>
      </c>
      <c r="F318" s="139"/>
      <c r="G318" s="136">
        <f t="shared" si="72"/>
        <v>126.37994</v>
      </c>
      <c r="H318" s="139">
        <v>126.37994</v>
      </c>
      <c r="I318" s="139"/>
      <c r="J318" s="136">
        <f t="shared" si="73"/>
        <v>1.1227499999999999</v>
      </c>
      <c r="K318" s="139">
        <v>1.1227499999999999</v>
      </c>
      <c r="L318" s="140"/>
      <c r="M318" s="132">
        <f t="shared" si="69"/>
        <v>100</v>
      </c>
      <c r="N318" s="13">
        <v>0</v>
      </c>
      <c r="O318" s="98" t="s">
        <v>306</v>
      </c>
      <c r="P318" s="95" t="s">
        <v>307</v>
      </c>
      <c r="Q318" s="34" t="s">
        <v>308</v>
      </c>
      <c r="R318" s="12" t="s">
        <v>612</v>
      </c>
    </row>
    <row r="319" spans="2:19" ht="204.75" x14ac:dyDescent="0.25">
      <c r="B319" s="14"/>
      <c r="C319" s="103" t="s">
        <v>502</v>
      </c>
      <c r="D319" s="136">
        <f t="shared" si="71"/>
        <v>614.59291999999994</v>
      </c>
      <c r="E319" s="139">
        <v>102.70992</v>
      </c>
      <c r="F319" s="139">
        <f>510.983+0.9</f>
        <v>511.88299999999998</v>
      </c>
      <c r="G319" s="136">
        <f t="shared" si="72"/>
        <v>749.44111999999996</v>
      </c>
      <c r="H319" s="139">
        <f>8.032+102.71042-1.2293</f>
        <v>109.51312</v>
      </c>
      <c r="I319" s="139">
        <f>511.883+128.045</f>
        <v>639.928</v>
      </c>
      <c r="J319" s="136">
        <f t="shared" si="73"/>
        <v>309.50594000000001</v>
      </c>
      <c r="K319" s="139">
        <f>9.16508+6.31029</f>
        <v>15.47537</v>
      </c>
      <c r="L319" s="140">
        <f>174.13657+119.894</f>
        <v>294.03057000000001</v>
      </c>
      <c r="M319" s="132">
        <f t="shared" si="69"/>
        <v>50.359503002410122</v>
      </c>
      <c r="N319" s="13">
        <v>71</v>
      </c>
      <c r="O319" s="97" t="s">
        <v>309</v>
      </c>
      <c r="P319" s="95" t="s">
        <v>310</v>
      </c>
      <c r="Q319" s="101" t="s">
        <v>311</v>
      </c>
      <c r="R319" s="81" t="s">
        <v>575</v>
      </c>
    </row>
    <row r="320" spans="2:19" ht="51" x14ac:dyDescent="0.25">
      <c r="B320" s="14"/>
      <c r="C320" s="96" t="s">
        <v>317</v>
      </c>
      <c r="D320" s="136">
        <f t="shared" si="71"/>
        <v>240.10452000000001</v>
      </c>
      <c r="E320" s="140">
        <v>240.10452000000001</v>
      </c>
      <c r="F320" s="140"/>
      <c r="G320" s="136">
        <f t="shared" si="72"/>
        <v>240.10452000000001</v>
      </c>
      <c r="H320" s="140">
        <v>240.10452000000001</v>
      </c>
      <c r="I320" s="140"/>
      <c r="J320" s="136">
        <f t="shared" si="73"/>
        <v>240.10451999999998</v>
      </c>
      <c r="K320" s="140">
        <f>177.9647+62.13982</f>
        <v>240.10451999999998</v>
      </c>
      <c r="L320" s="140"/>
      <c r="M320" s="132">
        <f t="shared" si="69"/>
        <v>99.999999999999986</v>
      </c>
      <c r="N320" s="13">
        <v>100</v>
      </c>
      <c r="O320" s="97" t="s">
        <v>318</v>
      </c>
      <c r="P320" s="94">
        <v>127</v>
      </c>
      <c r="Q320" s="93" t="s">
        <v>319</v>
      </c>
      <c r="R320" s="12"/>
    </row>
    <row r="321" spans="2:18" ht="127.5" x14ac:dyDescent="0.25">
      <c r="B321" s="14"/>
      <c r="C321" s="103" t="s">
        <v>320</v>
      </c>
      <c r="D321" s="136">
        <f t="shared" si="71"/>
        <v>25</v>
      </c>
      <c r="E321" s="140">
        <v>25</v>
      </c>
      <c r="F321" s="140"/>
      <c r="G321" s="136">
        <f t="shared" si="72"/>
        <v>28</v>
      </c>
      <c r="H321" s="140">
        <v>28</v>
      </c>
      <c r="I321" s="140"/>
      <c r="J321" s="136">
        <f t="shared" si="73"/>
        <v>0</v>
      </c>
      <c r="K321" s="140"/>
      <c r="L321" s="140"/>
      <c r="M321" s="132">
        <f t="shared" si="69"/>
        <v>0</v>
      </c>
      <c r="N321" s="13"/>
      <c r="O321" s="97" t="s">
        <v>321</v>
      </c>
      <c r="P321" s="92" t="s">
        <v>322</v>
      </c>
      <c r="Q321" s="34" t="s">
        <v>323</v>
      </c>
      <c r="R321" s="12"/>
    </row>
    <row r="322" spans="2:18" ht="25.5" x14ac:dyDescent="0.25">
      <c r="B322" s="14"/>
      <c r="C322" s="103" t="s">
        <v>324</v>
      </c>
      <c r="D322" s="136">
        <f t="shared" si="71"/>
        <v>7.9000000000000001E-4</v>
      </c>
      <c r="E322" s="140"/>
      <c r="F322" s="140">
        <v>7.9000000000000001E-4</v>
      </c>
      <c r="G322" s="136">
        <f t="shared" si="72"/>
        <v>0</v>
      </c>
      <c r="H322" s="140"/>
      <c r="I322" s="140"/>
      <c r="J322" s="136">
        <f t="shared" si="73"/>
        <v>0</v>
      </c>
      <c r="K322" s="140"/>
      <c r="L322" s="140"/>
      <c r="M322" s="132">
        <f t="shared" si="69"/>
        <v>0</v>
      </c>
      <c r="N322" s="13"/>
      <c r="O322" s="97"/>
      <c r="P322" s="92"/>
      <c r="Q322" s="34"/>
      <c r="R322" s="12"/>
    </row>
    <row r="323" spans="2:18" ht="25.5" x14ac:dyDescent="0.25">
      <c r="B323" s="14"/>
      <c r="C323" s="103" t="s">
        <v>501</v>
      </c>
      <c r="D323" s="136">
        <f t="shared" si="71"/>
        <v>8.8517899999999994</v>
      </c>
      <c r="E323" s="140"/>
      <c r="F323" s="140">
        <v>8.8517899999999994</v>
      </c>
      <c r="G323" s="136">
        <f t="shared" si="72"/>
        <v>0</v>
      </c>
      <c r="H323" s="140"/>
      <c r="I323" s="140"/>
      <c r="J323" s="136">
        <f t="shared" si="73"/>
        <v>0</v>
      </c>
      <c r="K323" s="140"/>
      <c r="L323" s="140"/>
      <c r="M323" s="132">
        <f t="shared" si="69"/>
        <v>0</v>
      </c>
      <c r="N323" s="13"/>
      <c r="O323" s="97"/>
      <c r="P323" s="92"/>
      <c r="Q323" s="34"/>
      <c r="R323" s="12"/>
    </row>
    <row r="324" spans="2:18" ht="12.75" x14ac:dyDescent="0.25">
      <c r="B324" s="14"/>
      <c r="C324" s="103" t="s">
        <v>503</v>
      </c>
      <c r="D324" s="136">
        <f t="shared" si="71"/>
        <v>1.2115100000000001</v>
      </c>
      <c r="E324" s="140"/>
      <c r="F324" s="140">
        <v>1.2115100000000001</v>
      </c>
      <c r="G324" s="136"/>
      <c r="H324" s="140"/>
      <c r="I324" s="140"/>
      <c r="J324" s="136"/>
      <c r="K324" s="140"/>
      <c r="L324" s="140"/>
      <c r="M324" s="132">
        <f t="shared" si="69"/>
        <v>0</v>
      </c>
      <c r="N324" s="13"/>
      <c r="O324" s="97"/>
      <c r="P324" s="92"/>
      <c r="Q324" s="34"/>
      <c r="R324" s="12"/>
    </row>
    <row r="325" spans="2:18" ht="93.75" customHeight="1" x14ac:dyDescent="0.25">
      <c r="B325" s="14"/>
      <c r="C325" s="25" t="s">
        <v>576</v>
      </c>
      <c r="D325" s="136">
        <f t="shared" si="71"/>
        <v>12.67356</v>
      </c>
      <c r="E325" s="140">
        <v>12.67356</v>
      </c>
      <c r="F325" s="140"/>
      <c r="G325" s="136">
        <f t="shared" si="72"/>
        <v>12.67356</v>
      </c>
      <c r="H325" s="140">
        <v>12.67356</v>
      </c>
      <c r="I325" s="140"/>
      <c r="J325" s="136">
        <f t="shared" si="73"/>
        <v>12.67356</v>
      </c>
      <c r="K325" s="140">
        <v>12.67356</v>
      </c>
      <c r="L325" s="140"/>
      <c r="M325" s="132">
        <f t="shared" si="69"/>
        <v>100</v>
      </c>
      <c r="N325" s="13"/>
      <c r="O325" s="97" t="s">
        <v>493</v>
      </c>
      <c r="P325" s="22" t="s">
        <v>386</v>
      </c>
      <c r="Q325" s="40" t="s">
        <v>389</v>
      </c>
      <c r="R325" s="12"/>
    </row>
    <row r="326" spans="2:18" ht="127.5" x14ac:dyDescent="0.25">
      <c r="B326" s="14"/>
      <c r="C326" s="25" t="s">
        <v>577</v>
      </c>
      <c r="D326" s="136">
        <f t="shared" si="71"/>
        <v>0.16120000000000001</v>
      </c>
      <c r="E326" s="140"/>
      <c r="F326" s="140">
        <v>0.16120000000000001</v>
      </c>
      <c r="G326" s="136">
        <f t="shared" si="72"/>
        <v>0.16120000000000001</v>
      </c>
      <c r="H326" s="140"/>
      <c r="I326" s="140">
        <v>0.16120000000000001</v>
      </c>
      <c r="J326" s="136">
        <f t="shared" si="73"/>
        <v>0.1608</v>
      </c>
      <c r="K326" s="140"/>
      <c r="L326" s="140">
        <v>0.1608</v>
      </c>
      <c r="M326" s="132">
        <f t="shared" si="69"/>
        <v>99.751861042183606</v>
      </c>
      <c r="N326" s="13"/>
      <c r="O326" s="14" t="s">
        <v>521</v>
      </c>
      <c r="P326" s="92" t="s">
        <v>405</v>
      </c>
      <c r="Q326" s="25" t="s">
        <v>416</v>
      </c>
      <c r="R326" s="12"/>
    </row>
    <row r="327" spans="2:18" ht="177.75" customHeight="1" x14ac:dyDescent="0.25">
      <c r="B327" s="14"/>
      <c r="C327" s="25" t="s">
        <v>580</v>
      </c>
      <c r="D327" s="136">
        <f t="shared" si="71"/>
        <v>19.129090000000001</v>
      </c>
      <c r="E327" s="140">
        <v>19.129090000000001</v>
      </c>
      <c r="F327" s="140"/>
      <c r="G327" s="136">
        <f t="shared" si="72"/>
        <v>76.314089999999993</v>
      </c>
      <c r="H327" s="139">
        <v>76.314089999999993</v>
      </c>
      <c r="I327" s="140"/>
      <c r="J327" s="136">
        <f t="shared" si="73"/>
        <v>19.129090000000001</v>
      </c>
      <c r="K327" s="140">
        <v>19.129090000000001</v>
      </c>
      <c r="L327" s="140"/>
      <c r="M327" s="132">
        <f t="shared" si="69"/>
        <v>100</v>
      </c>
      <c r="N327" s="13"/>
      <c r="O327" s="46" t="s">
        <v>582</v>
      </c>
      <c r="P327" s="92" t="s">
        <v>105</v>
      </c>
      <c r="Q327" s="25" t="s">
        <v>376</v>
      </c>
      <c r="R327" s="12" t="s">
        <v>581</v>
      </c>
    </row>
    <row r="328" spans="2:18" ht="76.5" customHeight="1" x14ac:dyDescent="0.25">
      <c r="B328" s="14"/>
      <c r="C328" s="25" t="s">
        <v>459</v>
      </c>
      <c r="D328" s="136">
        <f t="shared" si="71"/>
        <v>29.09544</v>
      </c>
      <c r="E328" s="140">
        <f>29.02393+0.07151</f>
        <v>29.09544</v>
      </c>
      <c r="F328" s="140"/>
      <c r="G328" s="136">
        <f t="shared" si="72"/>
        <v>55.459989999999998</v>
      </c>
      <c r="H328" s="140">
        <v>55.459989999999998</v>
      </c>
      <c r="I328" s="140"/>
      <c r="J328" s="136">
        <f t="shared" si="73"/>
        <v>29.09544</v>
      </c>
      <c r="K328" s="140">
        <f>29.09544</f>
        <v>29.09544</v>
      </c>
      <c r="L328" s="140"/>
      <c r="M328" s="132">
        <f t="shared" si="69"/>
        <v>100</v>
      </c>
      <c r="N328" s="13">
        <v>100</v>
      </c>
      <c r="O328" s="187" t="s">
        <v>583</v>
      </c>
      <c r="P328" s="197" t="s">
        <v>461</v>
      </c>
      <c r="Q328" s="82" t="s">
        <v>460</v>
      </c>
      <c r="R328" s="193" t="s">
        <v>584</v>
      </c>
    </row>
    <row r="329" spans="2:18" ht="89.25" x14ac:dyDescent="0.25">
      <c r="B329" s="14"/>
      <c r="C329" s="25" t="s">
        <v>462</v>
      </c>
      <c r="D329" s="136">
        <f t="shared" si="71"/>
        <v>9.02393</v>
      </c>
      <c r="E329" s="140">
        <v>9.02393</v>
      </c>
      <c r="F329" s="140"/>
      <c r="G329" s="136">
        <f t="shared" ref="G329" si="94">H329+I329</f>
        <v>0</v>
      </c>
      <c r="H329" s="140"/>
      <c r="I329" s="140"/>
      <c r="J329" s="136">
        <f t="shared" ref="J329" si="95">K329+L329</f>
        <v>9.02393</v>
      </c>
      <c r="K329" s="140">
        <v>9.02393</v>
      </c>
      <c r="L329" s="140"/>
      <c r="M329" s="132">
        <f t="shared" si="69"/>
        <v>100</v>
      </c>
      <c r="N329" s="13">
        <v>100</v>
      </c>
      <c r="O329" s="187"/>
      <c r="P329" s="197"/>
      <c r="Q329" s="82" t="s">
        <v>592</v>
      </c>
      <c r="R329" s="193"/>
    </row>
    <row r="330" spans="2:18" ht="135" customHeight="1" x14ac:dyDescent="0.25">
      <c r="B330" s="14"/>
      <c r="C330" s="25" t="s">
        <v>463</v>
      </c>
      <c r="D330" s="136">
        <f t="shared" si="71"/>
        <v>12.71949</v>
      </c>
      <c r="E330" s="140">
        <v>12.71949</v>
      </c>
      <c r="F330" s="140"/>
      <c r="G330" s="136">
        <f t="shared" si="72"/>
        <v>12.71949</v>
      </c>
      <c r="H330" s="140">
        <v>12.71949</v>
      </c>
      <c r="I330" s="140"/>
      <c r="J330" s="136">
        <f t="shared" si="73"/>
        <v>12.71949</v>
      </c>
      <c r="K330" s="140">
        <v>12.71949</v>
      </c>
      <c r="L330" s="140"/>
      <c r="M330" s="132">
        <f t="shared" ref="M330:M399" si="96">J330/D330%</f>
        <v>100</v>
      </c>
      <c r="N330" s="13">
        <v>100</v>
      </c>
      <c r="O330" s="97" t="s">
        <v>586</v>
      </c>
      <c r="P330" s="92" t="s">
        <v>464</v>
      </c>
      <c r="Q330" s="83" t="s">
        <v>465</v>
      </c>
      <c r="R330" s="12"/>
    </row>
    <row r="331" spans="2:18" ht="79.5" customHeight="1" x14ac:dyDescent="0.25">
      <c r="B331" s="14"/>
      <c r="C331" s="103" t="s">
        <v>531</v>
      </c>
      <c r="D331" s="136">
        <f t="shared" ref="D331:D334" si="97">E331+F331</f>
        <v>13.814</v>
      </c>
      <c r="E331" s="140">
        <v>13.814</v>
      </c>
      <c r="F331" s="140"/>
      <c r="G331" s="136">
        <f t="shared" ref="G331" si="98">H331+I331</f>
        <v>34</v>
      </c>
      <c r="H331" s="140">
        <v>34</v>
      </c>
      <c r="I331" s="140"/>
      <c r="J331" s="136">
        <f t="shared" ref="J331" si="99">K331+L331</f>
        <v>7.4898300000000004</v>
      </c>
      <c r="K331" s="140">
        <v>7.4898300000000004</v>
      </c>
      <c r="L331" s="140"/>
      <c r="M331" s="132">
        <f t="shared" si="96"/>
        <v>54.219125524829877</v>
      </c>
      <c r="N331" s="13"/>
      <c r="O331" s="14" t="s">
        <v>529</v>
      </c>
      <c r="P331" s="94" t="s">
        <v>457</v>
      </c>
      <c r="Q331" s="40" t="s">
        <v>530</v>
      </c>
      <c r="R331" s="12"/>
    </row>
    <row r="332" spans="2:18" ht="141" customHeight="1" x14ac:dyDescent="0.25">
      <c r="B332" s="14"/>
      <c r="C332" s="39" t="s">
        <v>540</v>
      </c>
      <c r="D332" s="136">
        <f t="shared" si="97"/>
        <v>87.414720000000003</v>
      </c>
      <c r="E332" s="140">
        <v>87.414720000000003</v>
      </c>
      <c r="F332" s="140"/>
      <c r="G332" s="136">
        <f t="shared" ref="G332:G334" si="100">H332+I332</f>
        <v>87.414720000000003</v>
      </c>
      <c r="H332" s="140">
        <v>87.414720000000003</v>
      </c>
      <c r="I332" s="140"/>
      <c r="J332" s="136">
        <f t="shared" ref="J332:J334" si="101">K332+L332</f>
        <v>0</v>
      </c>
      <c r="K332" s="140"/>
      <c r="L332" s="140"/>
      <c r="M332" s="132">
        <f t="shared" si="96"/>
        <v>0</v>
      </c>
      <c r="N332" s="13">
        <v>100</v>
      </c>
      <c r="O332" s="97" t="s">
        <v>542</v>
      </c>
      <c r="P332" s="92" t="s">
        <v>469</v>
      </c>
      <c r="Q332" s="84" t="s">
        <v>541</v>
      </c>
      <c r="R332" s="12"/>
    </row>
    <row r="333" spans="2:18" ht="97.5" customHeight="1" x14ac:dyDescent="0.25">
      <c r="B333" s="14"/>
      <c r="C333" s="39" t="s">
        <v>543</v>
      </c>
      <c r="D333" s="136">
        <f t="shared" si="97"/>
        <v>97.575469999999996</v>
      </c>
      <c r="E333" s="140">
        <v>97.575469999999996</v>
      </c>
      <c r="F333" s="140"/>
      <c r="G333" s="136">
        <f t="shared" si="100"/>
        <v>97.575469999999996</v>
      </c>
      <c r="H333" s="140">
        <v>97.575469999999996</v>
      </c>
      <c r="I333" s="140"/>
      <c r="J333" s="136">
        <f t="shared" si="101"/>
        <v>89.774709999999999</v>
      </c>
      <c r="K333" s="140">
        <f>39.38454+49.02411+1.36606</f>
        <v>89.774709999999999</v>
      </c>
      <c r="L333" s="140"/>
      <c r="M333" s="132">
        <f t="shared" si="96"/>
        <v>92.005408736437545</v>
      </c>
      <c r="N333" s="13">
        <v>100</v>
      </c>
      <c r="O333" s="97" t="s">
        <v>545</v>
      </c>
      <c r="P333" s="92" t="s">
        <v>470</v>
      </c>
      <c r="Q333" s="40" t="s">
        <v>544</v>
      </c>
      <c r="R333" s="12"/>
    </row>
    <row r="334" spans="2:18" ht="88.5" customHeight="1" x14ac:dyDescent="0.25">
      <c r="B334" s="14"/>
      <c r="C334" s="39" t="s">
        <v>548</v>
      </c>
      <c r="D334" s="136">
        <f t="shared" si="97"/>
        <v>199.64</v>
      </c>
      <c r="E334" s="140">
        <v>199.64</v>
      </c>
      <c r="F334" s="140"/>
      <c r="G334" s="136">
        <f t="shared" si="100"/>
        <v>248.05234999999999</v>
      </c>
      <c r="H334" s="140">
        <v>248.05234999999999</v>
      </c>
      <c r="I334" s="140"/>
      <c r="J334" s="136">
        <f t="shared" si="101"/>
        <v>111.61524</v>
      </c>
      <c r="K334" s="140">
        <v>111.61524</v>
      </c>
      <c r="L334" s="140"/>
      <c r="M334" s="132">
        <f t="shared" si="96"/>
        <v>55.908254858745742</v>
      </c>
      <c r="N334" s="13">
        <v>100</v>
      </c>
      <c r="O334" s="97" t="s">
        <v>546</v>
      </c>
      <c r="P334" s="92" t="s">
        <v>471</v>
      </c>
      <c r="Q334" s="40" t="s">
        <v>547</v>
      </c>
      <c r="R334" s="12"/>
    </row>
    <row r="335" spans="2:18" ht="93" customHeight="1" x14ac:dyDescent="0.25">
      <c r="B335" s="14"/>
      <c r="C335" s="103" t="s">
        <v>690</v>
      </c>
      <c r="D335" s="136">
        <f t="shared" ref="D335:D336" si="102">E335+F335</f>
        <v>16.014790000000001</v>
      </c>
      <c r="E335" s="140">
        <v>16.014790000000001</v>
      </c>
      <c r="F335" s="140"/>
      <c r="G335" s="136">
        <f t="shared" ref="G335:G336" si="103">H335+I335</f>
        <v>16.014790000000001</v>
      </c>
      <c r="H335" s="140">
        <v>16.014790000000001</v>
      </c>
      <c r="I335" s="140"/>
      <c r="J335" s="136">
        <f t="shared" ref="J335:J336" si="104">K335+L335</f>
        <v>14.496179999999999</v>
      </c>
      <c r="K335" s="140">
        <f>7.59911+3.31283+3.58424</f>
        <v>14.496179999999999</v>
      </c>
      <c r="L335" s="140"/>
      <c r="M335" s="132">
        <f t="shared" ref="M335:M339" si="105">J335/D335%</f>
        <v>90.517452929448325</v>
      </c>
      <c r="N335" s="13"/>
      <c r="O335" s="97" t="s">
        <v>691</v>
      </c>
      <c r="P335" s="92" t="s">
        <v>240</v>
      </c>
      <c r="Q335" s="34" t="s">
        <v>373</v>
      </c>
      <c r="R335" s="12"/>
    </row>
    <row r="336" spans="2:18" ht="83.25" customHeight="1" x14ac:dyDescent="0.25">
      <c r="B336" s="14"/>
      <c r="C336" s="25" t="s">
        <v>692</v>
      </c>
      <c r="D336" s="136">
        <f t="shared" si="102"/>
        <v>100</v>
      </c>
      <c r="E336" s="140">
        <v>100</v>
      </c>
      <c r="F336" s="140"/>
      <c r="G336" s="136">
        <f t="shared" si="103"/>
        <v>171.99993000000001</v>
      </c>
      <c r="H336" s="140">
        <v>171.99993000000001</v>
      </c>
      <c r="I336" s="140"/>
      <c r="J336" s="136">
        <f t="shared" si="104"/>
        <v>34.398000000000003</v>
      </c>
      <c r="K336" s="140">
        <v>34.398000000000003</v>
      </c>
      <c r="L336" s="140"/>
      <c r="M336" s="132">
        <f t="shared" si="105"/>
        <v>34.398000000000003</v>
      </c>
      <c r="N336" s="13">
        <v>35</v>
      </c>
      <c r="O336" s="97" t="s">
        <v>842</v>
      </c>
      <c r="P336" s="92" t="s">
        <v>693</v>
      </c>
      <c r="Q336" s="34" t="s">
        <v>291</v>
      </c>
      <c r="R336" s="12"/>
    </row>
    <row r="337" spans="2:20" ht="105" customHeight="1" x14ac:dyDescent="0.25">
      <c r="B337" s="14"/>
      <c r="C337" s="25" t="s">
        <v>847</v>
      </c>
      <c r="D337" s="136">
        <f t="shared" ref="D337:D340" si="106">E337+F337</f>
        <v>7.72729</v>
      </c>
      <c r="E337" s="140"/>
      <c r="F337" s="140">
        <v>7.72729</v>
      </c>
      <c r="G337" s="136">
        <f t="shared" ref="G337:G339" si="107">H337+I337</f>
        <v>7.72729</v>
      </c>
      <c r="H337" s="140"/>
      <c r="I337" s="140">
        <v>7.72729</v>
      </c>
      <c r="J337" s="136">
        <f t="shared" ref="J337:J339" si="108">K337+L337</f>
        <v>7.72729</v>
      </c>
      <c r="K337" s="140"/>
      <c r="L337" s="140">
        <v>7.72729</v>
      </c>
      <c r="M337" s="132">
        <f t="shared" si="105"/>
        <v>99.999999999999986</v>
      </c>
      <c r="N337" s="13"/>
      <c r="O337" s="97" t="s">
        <v>896</v>
      </c>
      <c r="P337" s="92" t="s">
        <v>472</v>
      </c>
      <c r="Q337" s="34" t="s">
        <v>533</v>
      </c>
      <c r="R337" s="12"/>
      <c r="T337" s="119"/>
    </row>
    <row r="338" spans="2:20" ht="75" x14ac:dyDescent="0.25">
      <c r="B338" s="14"/>
      <c r="C338" s="126" t="s">
        <v>840</v>
      </c>
      <c r="D338" s="136">
        <f t="shared" si="106"/>
        <v>19.446000000000002</v>
      </c>
      <c r="E338" s="140">
        <f>19.446</f>
        <v>19.446000000000002</v>
      </c>
      <c r="F338" s="140"/>
      <c r="G338" s="136">
        <f t="shared" si="107"/>
        <v>80.900549999999996</v>
      </c>
      <c r="H338" s="140">
        <v>80.900549999999996</v>
      </c>
      <c r="I338" s="140"/>
      <c r="J338" s="136">
        <f t="shared" si="108"/>
        <v>0</v>
      </c>
      <c r="K338" s="140"/>
      <c r="L338" s="140"/>
      <c r="M338" s="132">
        <f t="shared" si="105"/>
        <v>0</v>
      </c>
      <c r="N338" s="13">
        <v>65</v>
      </c>
      <c r="O338" s="97" t="s">
        <v>841</v>
      </c>
      <c r="P338" s="92" t="s">
        <v>766</v>
      </c>
      <c r="Q338" s="34" t="s">
        <v>544</v>
      </c>
      <c r="R338" s="12"/>
    </row>
    <row r="339" spans="2:20" ht="85.5" x14ac:dyDescent="0.25">
      <c r="B339" s="14"/>
      <c r="C339" s="126" t="s">
        <v>843</v>
      </c>
      <c r="D339" s="136">
        <f t="shared" si="106"/>
        <v>99.986379999999997</v>
      </c>
      <c r="E339" s="140">
        <v>99.986379999999997</v>
      </c>
      <c r="F339" s="140"/>
      <c r="G339" s="136">
        <f t="shared" si="107"/>
        <v>179.87438</v>
      </c>
      <c r="H339" s="140">
        <v>179.87438</v>
      </c>
      <c r="I339" s="140"/>
      <c r="J339" s="136">
        <f t="shared" si="108"/>
        <v>0</v>
      </c>
      <c r="K339" s="140"/>
      <c r="L339" s="140"/>
      <c r="M339" s="132">
        <f t="shared" si="105"/>
        <v>0</v>
      </c>
      <c r="N339" s="13"/>
      <c r="O339" s="97" t="s">
        <v>844</v>
      </c>
      <c r="P339" s="92" t="s">
        <v>767</v>
      </c>
      <c r="Q339" s="34" t="s">
        <v>308</v>
      </c>
      <c r="R339" s="12"/>
    </row>
    <row r="340" spans="2:20" ht="13.5" x14ac:dyDescent="0.25">
      <c r="B340" s="14"/>
      <c r="C340" s="125"/>
      <c r="D340" s="136">
        <f t="shared" si="106"/>
        <v>8.4238300000000006</v>
      </c>
      <c r="E340" s="140">
        <v>8.4238300000000006</v>
      </c>
      <c r="F340" s="140"/>
      <c r="G340" s="136"/>
      <c r="H340" s="140"/>
      <c r="I340" s="140"/>
      <c r="J340" s="136"/>
      <c r="K340" s="140"/>
      <c r="L340" s="140"/>
      <c r="M340" s="132"/>
      <c r="N340" s="13"/>
      <c r="O340" s="97"/>
      <c r="P340" s="92"/>
      <c r="Q340" s="34"/>
      <c r="R340" s="12"/>
    </row>
    <row r="341" spans="2:20" ht="12.75" x14ac:dyDescent="0.25">
      <c r="B341" s="17"/>
      <c r="C341" s="4" t="s">
        <v>19</v>
      </c>
      <c r="D341" s="136">
        <f t="shared" si="71"/>
        <v>2294.5904299999997</v>
      </c>
      <c r="E341" s="139">
        <f>SUM(E307:E340)</f>
        <v>1533.2359999999996</v>
      </c>
      <c r="F341" s="139">
        <f>SUM(F307:F339)</f>
        <v>761.35443000000009</v>
      </c>
      <c r="G341" s="136">
        <f t="shared" si="72"/>
        <v>3215.2637300000001</v>
      </c>
      <c r="H341" s="139">
        <f>SUM(H307:H339)</f>
        <v>2335.92839</v>
      </c>
      <c r="I341" s="139">
        <f>SUM(I307:I339)</f>
        <v>879.33534000000009</v>
      </c>
      <c r="J341" s="136">
        <f t="shared" si="73"/>
        <v>1466.9851899999999</v>
      </c>
      <c r="K341" s="139">
        <f>SUM(K307:K339)</f>
        <v>933.5476799999999</v>
      </c>
      <c r="L341" s="139">
        <f>SUM(L307:L339)</f>
        <v>533.43751000000009</v>
      </c>
      <c r="M341" s="132">
        <f t="shared" si="96"/>
        <v>63.932332795443585</v>
      </c>
      <c r="N341" s="13"/>
      <c r="O341" s="14"/>
      <c r="P341" s="22"/>
      <c r="Q341" s="23"/>
      <c r="R341" s="26"/>
    </row>
    <row r="342" spans="2:20" ht="89.25" x14ac:dyDescent="0.25">
      <c r="B342" s="17" t="s">
        <v>325</v>
      </c>
      <c r="C342" s="4" t="s">
        <v>326</v>
      </c>
      <c r="D342" s="136"/>
      <c r="E342" s="159"/>
      <c r="F342" s="159"/>
      <c r="G342" s="136"/>
      <c r="H342" s="136"/>
      <c r="I342" s="137"/>
      <c r="J342" s="136"/>
      <c r="K342" s="136"/>
      <c r="L342" s="136"/>
      <c r="M342" s="132"/>
      <c r="N342" s="13"/>
      <c r="O342" s="10"/>
      <c r="P342" s="11"/>
      <c r="Q342" s="10"/>
      <c r="R342" s="12"/>
    </row>
    <row r="343" spans="2:20" ht="91.5" customHeight="1" x14ac:dyDescent="0.25">
      <c r="B343" s="14" t="s">
        <v>327</v>
      </c>
      <c r="C343" s="28" t="s">
        <v>610</v>
      </c>
      <c r="D343" s="136">
        <f t="shared" si="71"/>
        <v>32.64602</v>
      </c>
      <c r="E343" s="136"/>
      <c r="F343" s="140">
        <v>32.64602</v>
      </c>
      <c r="G343" s="136">
        <f t="shared" si="72"/>
        <v>32.64602</v>
      </c>
      <c r="H343" s="136"/>
      <c r="I343" s="140">
        <v>32.64602</v>
      </c>
      <c r="J343" s="136">
        <f t="shared" si="73"/>
        <v>32.64602</v>
      </c>
      <c r="K343" s="140"/>
      <c r="L343" s="140">
        <v>32.64602</v>
      </c>
      <c r="M343" s="132">
        <f t="shared" si="96"/>
        <v>100</v>
      </c>
      <c r="N343" s="13"/>
      <c r="O343" s="85" t="s">
        <v>328</v>
      </c>
      <c r="P343" s="86">
        <v>19</v>
      </c>
      <c r="Q343" s="96" t="s">
        <v>329</v>
      </c>
      <c r="R343" s="12"/>
      <c r="S343" s="116"/>
    </row>
    <row r="344" spans="2:20" ht="63.75" x14ac:dyDescent="0.25">
      <c r="B344" s="14"/>
      <c r="C344" s="28" t="s">
        <v>330</v>
      </c>
      <c r="D344" s="136">
        <f t="shared" si="71"/>
        <v>70.040319999999994</v>
      </c>
      <c r="E344" s="136"/>
      <c r="F344" s="139">
        <v>70.040319999999994</v>
      </c>
      <c r="G344" s="136">
        <f t="shared" si="72"/>
        <v>70.040319999999994</v>
      </c>
      <c r="H344" s="136"/>
      <c r="I344" s="139">
        <v>70.040319999999994</v>
      </c>
      <c r="J344" s="136">
        <f t="shared" si="73"/>
        <v>65.723190000000002</v>
      </c>
      <c r="K344" s="140"/>
      <c r="L344" s="140">
        <f>50.91839+14.8048</f>
        <v>65.723190000000002</v>
      </c>
      <c r="M344" s="132">
        <f t="shared" si="96"/>
        <v>93.836221764834903</v>
      </c>
      <c r="N344" s="13">
        <v>100</v>
      </c>
      <c r="O344" s="97" t="s">
        <v>331</v>
      </c>
      <c r="P344" s="92" t="s">
        <v>332</v>
      </c>
      <c r="Q344" s="34" t="s">
        <v>228</v>
      </c>
      <c r="R344" s="12"/>
    </row>
    <row r="345" spans="2:20" ht="96.75" customHeight="1" x14ac:dyDescent="0.25">
      <c r="B345" s="14" t="s">
        <v>72</v>
      </c>
      <c r="C345" s="28" t="s">
        <v>611</v>
      </c>
      <c r="D345" s="136">
        <f t="shared" si="71"/>
        <v>64.651510000000002</v>
      </c>
      <c r="E345" s="139"/>
      <c r="F345" s="139">
        <v>64.651510000000002</v>
      </c>
      <c r="G345" s="136">
        <f t="shared" si="72"/>
        <v>64.651510000000002</v>
      </c>
      <c r="H345" s="160"/>
      <c r="I345" s="139">
        <v>64.651510000000002</v>
      </c>
      <c r="J345" s="136">
        <f t="shared" si="73"/>
        <v>64.651510000000002</v>
      </c>
      <c r="K345" s="140"/>
      <c r="L345" s="139">
        <f>18.25382+46.39769</f>
        <v>64.651510000000002</v>
      </c>
      <c r="M345" s="132">
        <f t="shared" si="96"/>
        <v>100</v>
      </c>
      <c r="N345" s="13"/>
      <c r="O345" s="104" t="s">
        <v>333</v>
      </c>
      <c r="P345" s="100" t="s">
        <v>334</v>
      </c>
      <c r="Q345" s="96" t="s">
        <v>329</v>
      </c>
      <c r="R345" s="26"/>
    </row>
    <row r="346" spans="2:20" ht="25.5" x14ac:dyDescent="0.25">
      <c r="B346" s="14"/>
      <c r="C346" s="96" t="s">
        <v>335</v>
      </c>
      <c r="D346" s="136">
        <f t="shared" si="71"/>
        <v>78.764200000000002</v>
      </c>
      <c r="E346" s="140"/>
      <c r="F346" s="140">
        <v>78.764200000000002</v>
      </c>
      <c r="G346" s="136">
        <f t="shared" si="72"/>
        <v>0</v>
      </c>
      <c r="H346" s="140"/>
      <c r="I346" s="140"/>
      <c r="J346" s="136">
        <f t="shared" si="73"/>
        <v>0</v>
      </c>
      <c r="K346" s="140"/>
      <c r="L346" s="140"/>
      <c r="M346" s="132">
        <f t="shared" si="96"/>
        <v>0</v>
      </c>
      <c r="N346" s="13"/>
      <c r="O346" s="104"/>
      <c r="P346" s="100"/>
      <c r="Q346" s="96"/>
      <c r="R346" s="12"/>
    </row>
    <row r="347" spans="2:20" ht="25.5" x14ac:dyDescent="0.25">
      <c r="B347" s="14"/>
      <c r="C347" s="96" t="s">
        <v>336</v>
      </c>
      <c r="D347" s="136">
        <f t="shared" si="71"/>
        <v>3.98447</v>
      </c>
      <c r="E347" s="140"/>
      <c r="F347" s="140">
        <v>3.98447</v>
      </c>
      <c r="G347" s="136">
        <f t="shared" si="72"/>
        <v>0</v>
      </c>
      <c r="H347" s="140"/>
      <c r="I347" s="140"/>
      <c r="J347" s="136">
        <f t="shared" si="73"/>
        <v>0</v>
      </c>
      <c r="K347" s="140"/>
      <c r="L347" s="140"/>
      <c r="M347" s="132">
        <f t="shared" si="96"/>
        <v>0</v>
      </c>
      <c r="N347" s="13"/>
      <c r="O347" s="104"/>
      <c r="P347" s="100"/>
      <c r="Q347" s="96"/>
      <c r="R347" s="26"/>
    </row>
    <row r="348" spans="2:20" ht="89.25" x14ac:dyDescent="0.25">
      <c r="B348" s="14"/>
      <c r="C348" s="25" t="s">
        <v>610</v>
      </c>
      <c r="D348" s="136">
        <f t="shared" si="71"/>
        <v>143.55116000000001</v>
      </c>
      <c r="E348" s="140"/>
      <c r="F348" s="140">
        <v>143.55116000000001</v>
      </c>
      <c r="G348" s="136">
        <f t="shared" si="72"/>
        <v>227.87277</v>
      </c>
      <c r="H348" s="161"/>
      <c r="I348" s="161">
        <v>227.87277</v>
      </c>
      <c r="J348" s="136">
        <f t="shared" si="73"/>
        <v>141.91040000000001</v>
      </c>
      <c r="K348" s="140"/>
      <c r="L348" s="140">
        <f>18.30564+47.70422+48.07034+27.8302</f>
        <v>141.91040000000001</v>
      </c>
      <c r="M348" s="132">
        <f t="shared" si="96"/>
        <v>98.857020730448994</v>
      </c>
      <c r="N348" s="13"/>
      <c r="O348" s="104" t="s">
        <v>917</v>
      </c>
      <c r="P348" s="100" t="s">
        <v>419</v>
      </c>
      <c r="Q348" s="96" t="s">
        <v>329</v>
      </c>
      <c r="R348" s="26"/>
    </row>
    <row r="349" spans="2:20" ht="93.75" customHeight="1" x14ac:dyDescent="0.25">
      <c r="B349" s="14"/>
      <c r="C349" s="25" t="s">
        <v>504</v>
      </c>
      <c r="D349" s="136">
        <f t="shared" si="71"/>
        <v>73.334289999999996</v>
      </c>
      <c r="E349" s="140"/>
      <c r="F349" s="140">
        <v>73.334289999999996</v>
      </c>
      <c r="G349" s="136">
        <f t="shared" si="72"/>
        <v>73.334289999999996</v>
      </c>
      <c r="H349" s="140"/>
      <c r="I349" s="140">
        <v>73.334289999999996</v>
      </c>
      <c r="J349" s="136">
        <f t="shared" si="73"/>
        <v>73.334289999999996</v>
      </c>
      <c r="K349" s="140"/>
      <c r="L349" s="140">
        <f>49.912+14.9+3.43357+5.08872</f>
        <v>73.334289999999996</v>
      </c>
      <c r="M349" s="132">
        <f t="shared" si="96"/>
        <v>100</v>
      </c>
      <c r="N349" s="13">
        <v>100</v>
      </c>
      <c r="O349" s="104" t="s">
        <v>549</v>
      </c>
      <c r="P349" s="100" t="s">
        <v>473</v>
      </c>
      <c r="Q349" s="96" t="s">
        <v>474</v>
      </c>
      <c r="R349" s="26"/>
    </row>
    <row r="350" spans="2:20" ht="76.5" x14ac:dyDescent="0.25">
      <c r="B350" s="14"/>
      <c r="C350" s="96" t="s">
        <v>360</v>
      </c>
      <c r="D350" s="136">
        <f t="shared" si="71"/>
        <v>3.7706499999999998</v>
      </c>
      <c r="E350" s="140">
        <v>3.7706499999999998</v>
      </c>
      <c r="F350" s="140"/>
      <c r="G350" s="136">
        <f t="shared" si="72"/>
        <v>3.7706499999999998</v>
      </c>
      <c r="H350" s="140">
        <v>3.7706499999999998</v>
      </c>
      <c r="I350" s="139"/>
      <c r="J350" s="136">
        <f t="shared" si="73"/>
        <v>3.76973</v>
      </c>
      <c r="K350" s="140">
        <v>3.76973</v>
      </c>
      <c r="L350" s="140"/>
      <c r="M350" s="132">
        <f t="shared" si="96"/>
        <v>99.975601023696186</v>
      </c>
      <c r="N350" s="13"/>
      <c r="O350" s="104" t="s">
        <v>513</v>
      </c>
      <c r="P350" s="100" t="s">
        <v>240</v>
      </c>
      <c r="Q350" s="96" t="s">
        <v>505</v>
      </c>
      <c r="R350" s="26"/>
    </row>
    <row r="351" spans="2:20" ht="12.75" x14ac:dyDescent="0.25">
      <c r="B351" s="14"/>
      <c r="C351" s="96" t="s">
        <v>887</v>
      </c>
      <c r="D351" s="136">
        <f t="shared" si="71"/>
        <v>4.6200600000000005</v>
      </c>
      <c r="E351" s="140">
        <v>3.14235</v>
      </c>
      <c r="F351" s="140">
        <v>1.4777100000000001</v>
      </c>
      <c r="G351" s="136"/>
      <c r="H351" s="140"/>
      <c r="I351" s="139"/>
      <c r="J351" s="136"/>
      <c r="K351" s="140"/>
      <c r="L351" s="140"/>
      <c r="M351" s="132">
        <f t="shared" si="96"/>
        <v>0</v>
      </c>
      <c r="N351" s="13"/>
      <c r="O351" s="104"/>
      <c r="P351" s="100"/>
      <c r="Q351" s="96"/>
      <c r="R351" s="26"/>
    </row>
    <row r="352" spans="2:20" ht="12.75" x14ac:dyDescent="0.25">
      <c r="B352" s="17"/>
      <c r="C352" s="4" t="s">
        <v>19</v>
      </c>
      <c r="D352" s="136">
        <f t="shared" si="71"/>
        <v>475.36268000000007</v>
      </c>
      <c r="E352" s="136">
        <f>SUM(E343:E351)</f>
        <v>6.9130000000000003</v>
      </c>
      <c r="F352" s="136">
        <f>SUM(F343:F351)</f>
        <v>468.44968000000006</v>
      </c>
      <c r="G352" s="136">
        <f t="shared" si="72"/>
        <v>472.31556</v>
      </c>
      <c r="H352" s="136">
        <f>SUM(H343:H350)</f>
        <v>3.7706499999999998</v>
      </c>
      <c r="I352" s="136">
        <f>SUM(I343:I350)</f>
        <v>468.54491000000002</v>
      </c>
      <c r="J352" s="136">
        <f t="shared" si="73"/>
        <v>382.03514000000001</v>
      </c>
      <c r="K352" s="136">
        <f>SUM(K343:K350)</f>
        <v>3.76973</v>
      </c>
      <c r="L352" s="136">
        <f>SUM(L343:L350)</f>
        <v>378.26541000000003</v>
      </c>
      <c r="M352" s="132">
        <f t="shared" si="96"/>
        <v>80.367087294273901</v>
      </c>
      <c r="N352" s="13"/>
      <c r="O352" s="14"/>
      <c r="P352" s="22"/>
      <c r="Q352" s="23"/>
      <c r="R352" s="12"/>
    </row>
    <row r="353" spans="2:18" ht="63.75" x14ac:dyDescent="0.25">
      <c r="B353" s="17" t="s">
        <v>337</v>
      </c>
      <c r="C353" s="4" t="s">
        <v>338</v>
      </c>
      <c r="D353" s="136"/>
      <c r="E353" s="135"/>
      <c r="F353" s="135"/>
      <c r="G353" s="136"/>
      <c r="H353" s="136"/>
      <c r="I353" s="137"/>
      <c r="J353" s="136"/>
      <c r="K353" s="136"/>
      <c r="L353" s="136"/>
      <c r="M353" s="132"/>
      <c r="N353" s="13"/>
      <c r="O353" s="10"/>
      <c r="P353" s="11"/>
      <c r="Q353" s="10"/>
      <c r="R353" s="12"/>
    </row>
    <row r="354" spans="2:18" ht="89.25" customHeight="1" x14ac:dyDescent="0.25">
      <c r="B354" s="14"/>
      <c r="C354" s="28" t="s">
        <v>339</v>
      </c>
      <c r="D354" s="136">
        <f t="shared" ref="D354:D406" si="109">E354+F354</f>
        <v>11.99122</v>
      </c>
      <c r="E354" s="149">
        <v>11.99122</v>
      </c>
      <c r="F354" s="140"/>
      <c r="G354" s="136">
        <f t="shared" ref="G354:G406" si="110">H354+I354</f>
        <v>0</v>
      </c>
      <c r="H354" s="149"/>
      <c r="I354" s="141"/>
      <c r="J354" s="136">
        <f t="shared" ref="J354:J406" si="111">K354+L354</f>
        <v>11.99122</v>
      </c>
      <c r="K354" s="149">
        <v>11.99122</v>
      </c>
      <c r="L354" s="140"/>
      <c r="M354" s="201">
        <f>(J354+J355)/D355%</f>
        <v>416.55807814149949</v>
      </c>
      <c r="N354" s="201"/>
      <c r="O354" s="187" t="s">
        <v>340</v>
      </c>
      <c r="P354" s="197" t="s">
        <v>341</v>
      </c>
      <c r="Q354" s="210" t="s">
        <v>342</v>
      </c>
      <c r="R354" s="193" t="s">
        <v>343</v>
      </c>
    </row>
    <row r="355" spans="2:18" ht="64.5" customHeight="1" x14ac:dyDescent="0.25">
      <c r="B355" s="14"/>
      <c r="C355" s="28" t="s">
        <v>344</v>
      </c>
      <c r="D355" s="136">
        <f t="shared" si="109"/>
        <v>3.7879999999999998</v>
      </c>
      <c r="E355" s="140">
        <v>3.7879999999999998</v>
      </c>
      <c r="F355" s="140"/>
      <c r="G355" s="136">
        <f t="shared" si="110"/>
        <v>342.24934999999999</v>
      </c>
      <c r="H355" s="136">
        <v>342.24934999999999</v>
      </c>
      <c r="I355" s="140"/>
      <c r="J355" s="136">
        <f t="shared" si="111"/>
        <v>3.7879999999999998</v>
      </c>
      <c r="K355" s="140">
        <v>3.7879999999999998</v>
      </c>
      <c r="L355" s="140"/>
      <c r="M355" s="201"/>
      <c r="N355" s="201"/>
      <c r="O355" s="187"/>
      <c r="P355" s="197"/>
      <c r="Q355" s="210"/>
      <c r="R355" s="193"/>
    </row>
    <row r="356" spans="2:18" ht="88.5" customHeight="1" x14ac:dyDescent="0.25">
      <c r="B356" s="14"/>
      <c r="C356" s="28" t="s">
        <v>345</v>
      </c>
      <c r="D356" s="136">
        <f t="shared" si="109"/>
        <v>7.7099799999999998</v>
      </c>
      <c r="E356" s="140">
        <v>7.7099799999999998</v>
      </c>
      <c r="F356" s="136"/>
      <c r="G356" s="136">
        <f t="shared" si="110"/>
        <v>0</v>
      </c>
      <c r="H356" s="140"/>
      <c r="I356" s="136"/>
      <c r="J356" s="136">
        <f t="shared" si="111"/>
        <v>7.7099799999999998</v>
      </c>
      <c r="K356" s="140">
        <v>7.7099799999999998</v>
      </c>
      <c r="L356" s="140"/>
      <c r="M356" s="132">
        <f t="shared" si="96"/>
        <v>100</v>
      </c>
      <c r="N356" s="13"/>
      <c r="O356" s="187" t="s">
        <v>346</v>
      </c>
      <c r="P356" s="175" t="s">
        <v>347</v>
      </c>
      <c r="Q356" s="181" t="s">
        <v>348</v>
      </c>
      <c r="R356" s="165" t="s">
        <v>350</v>
      </c>
    </row>
    <row r="357" spans="2:18" ht="41.25" customHeight="1" x14ac:dyDescent="0.25">
      <c r="B357" s="14"/>
      <c r="C357" s="28" t="s">
        <v>349</v>
      </c>
      <c r="D357" s="136">
        <f t="shared" si="109"/>
        <v>40.551409999999997</v>
      </c>
      <c r="E357" s="140">
        <v>40.551409999999997</v>
      </c>
      <c r="F357" s="136"/>
      <c r="G357" s="136">
        <f t="shared" si="110"/>
        <v>82.021019999999993</v>
      </c>
      <c r="H357" s="140">
        <v>82.021019999999993</v>
      </c>
      <c r="I357" s="136"/>
      <c r="J357" s="136">
        <f t="shared" si="111"/>
        <v>40.551409999999997</v>
      </c>
      <c r="K357" s="140">
        <v>40.551409999999997</v>
      </c>
      <c r="L357" s="140"/>
      <c r="M357" s="132">
        <f t="shared" si="96"/>
        <v>100</v>
      </c>
      <c r="N357" s="13"/>
      <c r="O357" s="187"/>
      <c r="P357" s="175"/>
      <c r="Q357" s="181"/>
      <c r="R357" s="166"/>
    </row>
    <row r="358" spans="2:18" ht="129.75" customHeight="1" x14ac:dyDescent="0.25">
      <c r="B358" s="14"/>
      <c r="C358" s="28" t="s">
        <v>608</v>
      </c>
      <c r="D358" s="136">
        <f t="shared" si="109"/>
        <v>1</v>
      </c>
      <c r="E358" s="140">
        <v>1</v>
      </c>
      <c r="F358" s="136"/>
      <c r="G358" s="136">
        <f t="shared" si="110"/>
        <v>1</v>
      </c>
      <c r="H358" s="136">
        <v>1</v>
      </c>
      <c r="I358" s="141"/>
      <c r="J358" s="136">
        <f t="shared" si="111"/>
        <v>0.55374999999999996</v>
      </c>
      <c r="K358" s="140">
        <v>0.55374999999999996</v>
      </c>
      <c r="L358" s="140"/>
      <c r="M358" s="132">
        <f t="shared" si="96"/>
        <v>55.374999999999993</v>
      </c>
      <c r="N358" s="13"/>
      <c r="O358" s="97" t="s">
        <v>156</v>
      </c>
      <c r="P358" s="11" t="s">
        <v>157</v>
      </c>
      <c r="Q358" s="34" t="s">
        <v>158</v>
      </c>
      <c r="R358" s="12"/>
    </row>
    <row r="359" spans="2:18" ht="106.5" customHeight="1" x14ac:dyDescent="0.25">
      <c r="B359" s="14"/>
      <c r="C359" s="28" t="s">
        <v>351</v>
      </c>
      <c r="D359" s="136">
        <f t="shared" si="109"/>
        <v>0.75</v>
      </c>
      <c r="E359" s="140">
        <v>0.75</v>
      </c>
      <c r="F359" s="136"/>
      <c r="G359" s="136">
        <f t="shared" si="110"/>
        <v>0.75</v>
      </c>
      <c r="H359" s="140">
        <v>0.75</v>
      </c>
      <c r="I359" s="141"/>
      <c r="J359" s="136">
        <f t="shared" si="111"/>
        <v>0.75</v>
      </c>
      <c r="K359" s="140">
        <v>0.75</v>
      </c>
      <c r="L359" s="140"/>
      <c r="M359" s="132">
        <f t="shared" si="96"/>
        <v>100</v>
      </c>
      <c r="N359" s="13"/>
      <c r="O359" s="97" t="s">
        <v>755</v>
      </c>
      <c r="P359" s="94" t="s">
        <v>352</v>
      </c>
      <c r="Q359" s="34" t="s">
        <v>353</v>
      </c>
      <c r="R359" s="12"/>
    </row>
    <row r="360" spans="2:18" ht="86.25" customHeight="1" x14ac:dyDescent="0.25">
      <c r="B360" s="14"/>
      <c r="C360" s="28" t="s">
        <v>354</v>
      </c>
      <c r="D360" s="136">
        <f t="shared" si="109"/>
        <v>4.7923200000000001</v>
      </c>
      <c r="E360" s="140">
        <v>4.7923200000000001</v>
      </c>
      <c r="F360" s="136"/>
      <c r="G360" s="136">
        <f t="shared" si="110"/>
        <v>0</v>
      </c>
      <c r="H360" s="140"/>
      <c r="I360" s="141"/>
      <c r="J360" s="136">
        <f t="shared" si="111"/>
        <v>4.7923200000000001</v>
      </c>
      <c r="K360" s="140">
        <v>4.7923200000000001</v>
      </c>
      <c r="L360" s="140"/>
      <c r="M360" s="132">
        <f t="shared" si="96"/>
        <v>100</v>
      </c>
      <c r="N360" s="13"/>
      <c r="O360" s="97" t="s">
        <v>355</v>
      </c>
      <c r="P360" s="175">
        <v>55</v>
      </c>
      <c r="Q360" s="180" t="s">
        <v>356</v>
      </c>
      <c r="R360" s="165" t="s">
        <v>358</v>
      </c>
    </row>
    <row r="361" spans="2:18" ht="60" customHeight="1" x14ac:dyDescent="0.25">
      <c r="B361" s="14"/>
      <c r="C361" s="28" t="s">
        <v>357</v>
      </c>
      <c r="D361" s="136">
        <f t="shared" si="109"/>
        <v>33.713189999999997</v>
      </c>
      <c r="E361" s="140">
        <v>33.713189999999997</v>
      </c>
      <c r="F361" s="140"/>
      <c r="G361" s="136">
        <f t="shared" si="110"/>
        <v>74.882800000000003</v>
      </c>
      <c r="H361" s="140">
        <v>74.882800000000003</v>
      </c>
      <c r="I361" s="140"/>
      <c r="J361" s="136">
        <f t="shared" si="111"/>
        <v>33.713189999999997</v>
      </c>
      <c r="K361" s="140">
        <v>33.713189999999997</v>
      </c>
      <c r="L361" s="140"/>
      <c r="M361" s="132">
        <f t="shared" si="96"/>
        <v>100</v>
      </c>
      <c r="N361" s="13"/>
      <c r="O361" s="97" t="s">
        <v>355</v>
      </c>
      <c r="P361" s="175"/>
      <c r="Q361" s="180"/>
      <c r="R361" s="166"/>
    </row>
    <row r="362" spans="2:18" ht="105.75" customHeight="1" x14ac:dyDescent="0.25">
      <c r="B362" s="14"/>
      <c r="C362" s="28" t="s">
        <v>359</v>
      </c>
      <c r="D362" s="136">
        <f t="shared" si="109"/>
        <v>27.6873</v>
      </c>
      <c r="E362" s="140">
        <v>27.6873</v>
      </c>
      <c r="F362" s="140"/>
      <c r="G362" s="136">
        <f t="shared" si="110"/>
        <v>27.6873</v>
      </c>
      <c r="H362" s="140">
        <v>27.6873</v>
      </c>
      <c r="I362" s="140"/>
      <c r="J362" s="136">
        <f t="shared" si="111"/>
        <v>27.655650000000001</v>
      </c>
      <c r="K362" s="140">
        <v>27.655650000000001</v>
      </c>
      <c r="L362" s="140"/>
      <c r="M362" s="132">
        <f t="shared" si="96"/>
        <v>99.885687661852202</v>
      </c>
      <c r="N362" s="13"/>
      <c r="O362" s="97" t="s">
        <v>219</v>
      </c>
      <c r="P362" s="11" t="s">
        <v>220</v>
      </c>
      <c r="Q362" s="34" t="s">
        <v>221</v>
      </c>
      <c r="R362" s="12"/>
    </row>
    <row r="363" spans="2:18" ht="87.75" customHeight="1" x14ac:dyDescent="0.25">
      <c r="B363" s="14"/>
      <c r="C363" s="28" t="s">
        <v>360</v>
      </c>
      <c r="D363" s="136">
        <f t="shared" si="109"/>
        <v>31.984000000000002</v>
      </c>
      <c r="E363" s="140">
        <v>31.984000000000002</v>
      </c>
      <c r="F363" s="140"/>
      <c r="G363" s="136">
        <f t="shared" si="110"/>
        <v>31.984000000000002</v>
      </c>
      <c r="H363" s="140">
        <v>31.984000000000002</v>
      </c>
      <c r="I363" s="140"/>
      <c r="J363" s="136">
        <f t="shared" si="111"/>
        <v>0</v>
      </c>
      <c r="K363" s="140"/>
      <c r="L363" s="140"/>
      <c r="M363" s="132">
        <f t="shared" si="96"/>
        <v>0</v>
      </c>
      <c r="N363" s="13"/>
      <c r="O363" s="97" t="s">
        <v>361</v>
      </c>
      <c r="P363" s="92">
        <v>17</v>
      </c>
      <c r="Q363" s="34" t="s">
        <v>323</v>
      </c>
      <c r="R363" s="12"/>
    </row>
    <row r="364" spans="2:18" ht="63" customHeight="1" x14ac:dyDescent="0.25">
      <c r="B364" s="14"/>
      <c r="C364" s="28" t="s">
        <v>136</v>
      </c>
      <c r="D364" s="136">
        <f t="shared" si="109"/>
        <v>28.28023</v>
      </c>
      <c r="E364" s="140">
        <v>28.28023</v>
      </c>
      <c r="F364" s="140"/>
      <c r="G364" s="136">
        <f t="shared" si="110"/>
        <v>28.28023</v>
      </c>
      <c r="H364" s="140">
        <v>28.28023</v>
      </c>
      <c r="I364" s="140"/>
      <c r="J364" s="136">
        <f t="shared" si="111"/>
        <v>28.28023</v>
      </c>
      <c r="K364" s="140">
        <v>28.28023</v>
      </c>
      <c r="L364" s="140"/>
      <c r="M364" s="132">
        <f t="shared" si="96"/>
        <v>100</v>
      </c>
      <c r="N364" s="13"/>
      <c r="O364" s="10" t="s">
        <v>756</v>
      </c>
      <c r="P364" s="11" t="s">
        <v>138</v>
      </c>
      <c r="Q364" s="99" t="s">
        <v>312</v>
      </c>
      <c r="R364" s="12"/>
    </row>
    <row r="365" spans="2:18" ht="192.75" hidden="1" x14ac:dyDescent="0.25">
      <c r="B365" s="14"/>
      <c r="C365" s="101" t="s">
        <v>588</v>
      </c>
      <c r="D365" s="136">
        <f t="shared" si="109"/>
        <v>0</v>
      </c>
      <c r="E365" s="140"/>
      <c r="F365" s="140"/>
      <c r="G365" s="136">
        <f t="shared" si="110"/>
        <v>74.882800000000003</v>
      </c>
      <c r="H365" s="140">
        <v>74.882800000000003</v>
      </c>
      <c r="I365" s="140"/>
      <c r="J365" s="136">
        <f t="shared" si="111"/>
        <v>0</v>
      </c>
      <c r="K365" s="140"/>
      <c r="L365" s="140"/>
      <c r="M365" s="132" t="e">
        <f t="shared" si="96"/>
        <v>#DIV/0!</v>
      </c>
      <c r="N365" s="13"/>
      <c r="O365" s="97" t="s">
        <v>355</v>
      </c>
      <c r="P365" s="92" t="s">
        <v>362</v>
      </c>
      <c r="Q365" s="34" t="s">
        <v>363</v>
      </c>
      <c r="R365" s="12" t="s">
        <v>364</v>
      </c>
    </row>
    <row r="366" spans="2:18" ht="25.5" hidden="1" x14ac:dyDescent="0.25">
      <c r="B366" s="14"/>
      <c r="C366" s="101" t="s">
        <v>365</v>
      </c>
      <c r="D366" s="136">
        <f t="shared" si="109"/>
        <v>0</v>
      </c>
      <c r="E366" s="140"/>
      <c r="F366" s="140"/>
      <c r="G366" s="136">
        <f t="shared" si="110"/>
        <v>8.1259999999999999E-2</v>
      </c>
      <c r="H366" s="140"/>
      <c r="I366" s="140">
        <v>8.1259999999999999E-2</v>
      </c>
      <c r="J366" s="136">
        <f t="shared" si="111"/>
        <v>0</v>
      </c>
      <c r="K366" s="140"/>
      <c r="L366" s="140"/>
      <c r="M366" s="132" t="e">
        <f t="shared" si="96"/>
        <v>#DIV/0!</v>
      </c>
      <c r="N366" s="13"/>
      <c r="O366" s="97"/>
      <c r="P366" s="92"/>
      <c r="Q366" s="101"/>
      <c r="R366" s="12"/>
    </row>
    <row r="367" spans="2:18" ht="1.5" hidden="1" customHeight="1" x14ac:dyDescent="0.25">
      <c r="B367" s="14"/>
      <c r="C367" s="101" t="s">
        <v>366</v>
      </c>
      <c r="D367" s="136">
        <f t="shared" si="109"/>
        <v>0</v>
      </c>
      <c r="E367" s="140"/>
      <c r="F367" s="140"/>
      <c r="G367" s="136">
        <f t="shared" si="110"/>
        <v>86.904240000000001</v>
      </c>
      <c r="H367" s="140"/>
      <c r="I367" s="140">
        <v>86.904240000000001</v>
      </c>
      <c r="J367" s="136">
        <f t="shared" si="111"/>
        <v>0</v>
      </c>
      <c r="K367" s="140"/>
      <c r="L367" s="140"/>
      <c r="M367" s="132" t="e">
        <f t="shared" si="96"/>
        <v>#DIV/0!</v>
      </c>
      <c r="N367" s="13"/>
      <c r="O367" s="97"/>
      <c r="P367" s="92"/>
      <c r="Q367" s="34"/>
      <c r="R367" s="12"/>
    </row>
    <row r="368" spans="2:18" ht="25.5" x14ac:dyDescent="0.2">
      <c r="B368" s="87"/>
      <c r="C368" s="101" t="s">
        <v>365</v>
      </c>
      <c r="D368" s="136">
        <f t="shared" si="109"/>
        <v>6.4999999999999997E-4</v>
      </c>
      <c r="E368" s="162"/>
      <c r="F368" s="162">
        <v>6.4999999999999997E-4</v>
      </c>
      <c r="G368" s="136">
        <f t="shared" si="110"/>
        <v>0</v>
      </c>
      <c r="H368" s="162"/>
      <c r="I368" s="162"/>
      <c r="J368" s="136">
        <f t="shared" si="111"/>
        <v>0</v>
      </c>
      <c r="K368" s="162"/>
      <c r="L368" s="162"/>
      <c r="M368" s="132">
        <f t="shared" si="96"/>
        <v>0</v>
      </c>
      <c r="N368" s="13"/>
      <c r="O368" s="87"/>
      <c r="P368" s="47"/>
      <c r="Q368" s="34"/>
      <c r="R368" s="12"/>
    </row>
    <row r="369" spans="2:20" ht="89.25" x14ac:dyDescent="0.25">
      <c r="B369" s="87"/>
      <c r="C369" s="25" t="s">
        <v>609</v>
      </c>
      <c r="D369" s="136">
        <f t="shared" si="109"/>
        <v>9.8185699999999994</v>
      </c>
      <c r="E369" s="162">
        <v>9.8185699999999994</v>
      </c>
      <c r="F369" s="162"/>
      <c r="G369" s="136">
        <f t="shared" si="110"/>
        <v>9.8190000000000008</v>
      </c>
      <c r="H369" s="162">
        <v>9.8190000000000008</v>
      </c>
      <c r="I369" s="162"/>
      <c r="J369" s="136">
        <f t="shared" si="111"/>
        <v>9.8185699999999994</v>
      </c>
      <c r="K369" s="162">
        <f>7.837+1.98157</f>
        <v>9.8185699999999994</v>
      </c>
      <c r="L369" s="162"/>
      <c r="M369" s="132">
        <f t="shared" si="96"/>
        <v>100</v>
      </c>
      <c r="N369" s="13"/>
      <c r="O369" s="97" t="s">
        <v>493</v>
      </c>
      <c r="P369" s="22" t="s">
        <v>386</v>
      </c>
      <c r="Q369" s="40" t="s">
        <v>389</v>
      </c>
      <c r="R369" s="12"/>
    </row>
    <row r="370" spans="2:20" ht="105.75" customHeight="1" x14ac:dyDescent="0.2">
      <c r="B370" s="87"/>
      <c r="C370" s="25" t="s">
        <v>589</v>
      </c>
      <c r="D370" s="136">
        <f t="shared" si="109"/>
        <v>12.89167</v>
      </c>
      <c r="E370" s="162">
        <v>12.89167</v>
      </c>
      <c r="F370" s="162"/>
      <c r="G370" s="136">
        <f t="shared" si="110"/>
        <v>12.89167</v>
      </c>
      <c r="H370" s="162">
        <v>12.89167</v>
      </c>
      <c r="I370" s="162"/>
      <c r="J370" s="136">
        <f t="shared" si="111"/>
        <v>10.10136</v>
      </c>
      <c r="K370" s="162">
        <f>7.41287+1.61855+1.06994</f>
        <v>10.10136</v>
      </c>
      <c r="L370" s="162"/>
      <c r="M370" s="132">
        <f t="shared" si="96"/>
        <v>78.35571341804436</v>
      </c>
      <c r="N370" s="13"/>
      <c r="O370" s="87" t="s">
        <v>513</v>
      </c>
      <c r="P370" s="47">
        <v>29</v>
      </c>
      <c r="Q370" s="25" t="s">
        <v>390</v>
      </c>
      <c r="R370" s="12"/>
    </row>
    <row r="371" spans="2:20" ht="53.25" customHeight="1" x14ac:dyDescent="0.2">
      <c r="B371" s="87"/>
      <c r="C371" s="25" t="s">
        <v>391</v>
      </c>
      <c r="D371" s="136">
        <f t="shared" si="109"/>
        <v>79.380600000000001</v>
      </c>
      <c r="E371" s="162">
        <v>79.380600000000001</v>
      </c>
      <c r="F371" s="162"/>
      <c r="G371" s="136">
        <f t="shared" si="110"/>
        <v>79.380600000000001</v>
      </c>
      <c r="H371" s="162">
        <v>79.380600000000001</v>
      </c>
      <c r="I371" s="162"/>
      <c r="J371" s="136">
        <f t="shared" si="111"/>
        <v>79.380600000000001</v>
      </c>
      <c r="K371" s="162">
        <v>79.380600000000001</v>
      </c>
      <c r="L371" s="162"/>
      <c r="M371" s="132">
        <f t="shared" si="96"/>
        <v>100</v>
      </c>
      <c r="N371" s="13"/>
      <c r="O371" s="87" t="s">
        <v>861</v>
      </c>
      <c r="P371" s="47" t="s">
        <v>392</v>
      </c>
      <c r="Q371" s="34" t="s">
        <v>348</v>
      </c>
      <c r="R371" s="12"/>
    </row>
    <row r="372" spans="2:20" ht="77.25" customHeight="1" x14ac:dyDescent="0.2">
      <c r="B372" s="87"/>
      <c r="C372" s="34" t="s">
        <v>591</v>
      </c>
      <c r="D372" s="136">
        <f t="shared" si="109"/>
        <v>21.489850000000001</v>
      </c>
      <c r="E372" s="162">
        <v>21.489850000000001</v>
      </c>
      <c r="F372" s="162"/>
      <c r="G372" s="136">
        <f t="shared" si="110"/>
        <v>21.489850000000001</v>
      </c>
      <c r="H372" s="162">
        <v>21.489850000000001</v>
      </c>
      <c r="I372" s="162"/>
      <c r="J372" s="136">
        <f t="shared" si="111"/>
        <v>21.489850000000001</v>
      </c>
      <c r="K372" s="162">
        <v>21.489850000000001</v>
      </c>
      <c r="L372" s="162"/>
      <c r="M372" s="132">
        <f t="shared" si="96"/>
        <v>100</v>
      </c>
      <c r="N372" s="13"/>
      <c r="O372" s="87" t="s">
        <v>550</v>
      </c>
      <c r="P372" s="86">
        <v>80</v>
      </c>
      <c r="Q372" s="34" t="s">
        <v>475</v>
      </c>
      <c r="R372" s="12"/>
    </row>
    <row r="373" spans="2:20" ht="123.75" customHeight="1" x14ac:dyDescent="0.2">
      <c r="B373" s="87"/>
      <c r="C373" s="88" t="s">
        <v>818</v>
      </c>
      <c r="D373" s="136">
        <f t="shared" si="109"/>
        <v>13.204319999999999</v>
      </c>
      <c r="E373" s="162">
        <v>13.204319999999999</v>
      </c>
      <c r="F373" s="162"/>
      <c r="G373" s="136">
        <f t="shared" si="110"/>
        <v>14.875120000000001</v>
      </c>
      <c r="H373" s="162">
        <v>14.875120000000001</v>
      </c>
      <c r="I373" s="162"/>
      <c r="J373" s="136">
        <f t="shared" si="111"/>
        <v>13.204319999999999</v>
      </c>
      <c r="K373" s="162">
        <v>13.204319999999999</v>
      </c>
      <c r="L373" s="162"/>
      <c r="M373" s="132">
        <f t="shared" si="96"/>
        <v>100</v>
      </c>
      <c r="N373" s="13"/>
      <c r="O373" s="167" t="s">
        <v>695</v>
      </c>
      <c r="P373" s="200">
        <v>57</v>
      </c>
      <c r="Q373" s="208" t="s">
        <v>819</v>
      </c>
      <c r="R373" s="12"/>
    </row>
    <row r="374" spans="2:20" ht="89.25" x14ac:dyDescent="0.2">
      <c r="B374" s="87"/>
      <c r="C374" s="25" t="s">
        <v>696</v>
      </c>
      <c r="D374" s="136">
        <f t="shared" si="109"/>
        <v>0.14879999999999999</v>
      </c>
      <c r="E374" s="162">
        <v>0.14879999999999999</v>
      </c>
      <c r="F374" s="162"/>
      <c r="G374" s="136">
        <f t="shared" si="110"/>
        <v>0</v>
      </c>
      <c r="H374" s="162"/>
      <c r="I374" s="162"/>
      <c r="J374" s="136">
        <f t="shared" si="111"/>
        <v>0.14879999999999999</v>
      </c>
      <c r="K374" s="162">
        <v>0.14879999999999999</v>
      </c>
      <c r="L374" s="162"/>
      <c r="M374" s="132">
        <f t="shared" si="96"/>
        <v>100</v>
      </c>
      <c r="N374" s="13"/>
      <c r="O374" s="168"/>
      <c r="P374" s="200"/>
      <c r="Q374" s="209"/>
      <c r="R374" s="12"/>
    </row>
    <row r="375" spans="2:20" ht="78" customHeight="1" x14ac:dyDescent="0.2">
      <c r="B375" s="87"/>
      <c r="C375" s="39" t="s">
        <v>551</v>
      </c>
      <c r="D375" s="162">
        <v>40.886920000000003</v>
      </c>
      <c r="E375" s="162">
        <v>40.886920000000003</v>
      </c>
      <c r="F375" s="162"/>
      <c r="G375" s="136">
        <f t="shared" si="110"/>
        <v>40.886920000000003</v>
      </c>
      <c r="H375" s="162">
        <v>40.886920000000003</v>
      </c>
      <c r="I375" s="162"/>
      <c r="J375" s="136">
        <f t="shared" si="111"/>
        <v>38.705979999999997</v>
      </c>
      <c r="K375" s="162">
        <v>38.705979999999997</v>
      </c>
      <c r="L375" s="162"/>
      <c r="M375" s="132">
        <f t="shared" si="96"/>
        <v>94.665922500398636</v>
      </c>
      <c r="N375" s="13"/>
      <c r="O375" s="87" t="s">
        <v>537</v>
      </c>
      <c r="P375" s="47" t="s">
        <v>476</v>
      </c>
      <c r="Q375" s="40" t="s">
        <v>552</v>
      </c>
      <c r="R375" s="12"/>
    </row>
    <row r="376" spans="2:20" ht="78" customHeight="1" x14ac:dyDescent="0.2">
      <c r="B376" s="87"/>
      <c r="C376" s="39" t="s">
        <v>556</v>
      </c>
      <c r="D376" s="136">
        <f t="shared" ref="D376:D382" si="112">E376+F376</f>
        <v>94.402550000000005</v>
      </c>
      <c r="E376" s="162">
        <v>94.402550000000005</v>
      </c>
      <c r="F376" s="162"/>
      <c r="G376" s="136">
        <f t="shared" ref="G376:G382" si="113">H376+I376</f>
        <v>94.402550000000005</v>
      </c>
      <c r="H376" s="162">
        <v>94.402550000000005</v>
      </c>
      <c r="I376" s="162"/>
      <c r="J376" s="136">
        <f t="shared" ref="J376:J382" si="114">K376+L376</f>
        <v>91.807820000000007</v>
      </c>
      <c r="K376" s="162">
        <f>81.30145+10.50637</f>
        <v>91.807820000000007</v>
      </c>
      <c r="L376" s="162"/>
      <c r="M376" s="132">
        <f t="shared" si="96"/>
        <v>97.251419585593823</v>
      </c>
      <c r="N376" s="13"/>
      <c r="O376" s="87" t="s">
        <v>698</v>
      </c>
      <c r="P376" s="47" t="s">
        <v>477</v>
      </c>
      <c r="Q376" s="40" t="s">
        <v>547</v>
      </c>
      <c r="R376" s="12"/>
    </row>
    <row r="377" spans="2:20" ht="78.75" customHeight="1" x14ac:dyDescent="0.2">
      <c r="B377" s="87"/>
      <c r="C377" s="39" t="s">
        <v>553</v>
      </c>
      <c r="D377" s="136">
        <f t="shared" si="112"/>
        <v>46.15334</v>
      </c>
      <c r="E377" s="162">
        <v>46.15334</v>
      </c>
      <c r="F377" s="162"/>
      <c r="G377" s="136">
        <f t="shared" si="113"/>
        <v>46.15334</v>
      </c>
      <c r="H377" s="162">
        <v>46.15334</v>
      </c>
      <c r="I377" s="162"/>
      <c r="J377" s="136">
        <f t="shared" si="114"/>
        <v>36.805950000000003</v>
      </c>
      <c r="K377" s="162">
        <f>-5.87025+5.87025+5.87025+30.9357</f>
        <v>36.805950000000003</v>
      </c>
      <c r="L377" s="162"/>
      <c r="M377" s="132">
        <f t="shared" si="96"/>
        <v>79.747099559858512</v>
      </c>
      <c r="N377" s="13"/>
      <c r="O377" s="87" t="s">
        <v>555</v>
      </c>
      <c r="P377" s="47">
        <v>75</v>
      </c>
      <c r="Q377" s="39" t="s">
        <v>554</v>
      </c>
      <c r="R377" s="12"/>
    </row>
    <row r="378" spans="2:20" ht="88.5" customHeight="1" x14ac:dyDescent="0.2">
      <c r="B378" s="87"/>
      <c r="C378" s="39" t="s">
        <v>557</v>
      </c>
      <c r="D378" s="136">
        <f t="shared" si="112"/>
        <v>52.312199999999997</v>
      </c>
      <c r="E378" s="162">
        <v>52.312199999999997</v>
      </c>
      <c r="F378" s="162"/>
      <c r="G378" s="136">
        <f t="shared" si="113"/>
        <v>52.312370000000001</v>
      </c>
      <c r="H378" s="162">
        <v>52.312370000000001</v>
      </c>
      <c r="I378" s="162"/>
      <c r="J378" s="136">
        <f t="shared" si="114"/>
        <v>0</v>
      </c>
      <c r="K378" s="162"/>
      <c r="L378" s="162"/>
      <c r="M378" s="132">
        <f t="shared" si="96"/>
        <v>0</v>
      </c>
      <c r="N378" s="13">
        <v>100</v>
      </c>
      <c r="O378" s="87" t="s">
        <v>860</v>
      </c>
      <c r="P378" s="47">
        <v>81</v>
      </c>
      <c r="Q378" s="34" t="s">
        <v>552</v>
      </c>
      <c r="R378" s="12"/>
    </row>
    <row r="379" spans="2:20" ht="96" customHeight="1" x14ac:dyDescent="0.2">
      <c r="B379" s="87"/>
      <c r="C379" s="39" t="s">
        <v>559</v>
      </c>
      <c r="D379" s="136">
        <f t="shared" si="112"/>
        <v>52.789000000000001</v>
      </c>
      <c r="E379" s="162">
        <v>52.789000000000001</v>
      </c>
      <c r="F379" s="162"/>
      <c r="G379" s="136">
        <f t="shared" ref="G379:G380" si="115">H379+I379</f>
        <v>52.789000000000001</v>
      </c>
      <c r="H379" s="162">
        <v>52.789000000000001</v>
      </c>
      <c r="I379" s="162"/>
      <c r="J379" s="136">
        <f t="shared" ref="J379:J380" si="116">K379+L379</f>
        <v>0</v>
      </c>
      <c r="K379" s="162"/>
      <c r="L379" s="162"/>
      <c r="M379" s="132">
        <f t="shared" si="96"/>
        <v>0</v>
      </c>
      <c r="N379" s="13">
        <v>100</v>
      </c>
      <c r="O379" s="87" t="s">
        <v>697</v>
      </c>
      <c r="P379" s="47">
        <v>84</v>
      </c>
      <c r="Q379" s="40" t="s">
        <v>558</v>
      </c>
      <c r="R379" s="12"/>
    </row>
    <row r="380" spans="2:20" ht="74.25" customHeight="1" x14ac:dyDescent="0.25">
      <c r="B380" s="87"/>
      <c r="C380" s="101" t="s">
        <v>531</v>
      </c>
      <c r="D380" s="136">
        <f t="shared" si="112"/>
        <v>33.843580000000003</v>
      </c>
      <c r="E380" s="162">
        <f>34-0.15642</f>
        <v>33.843580000000003</v>
      </c>
      <c r="F380" s="162"/>
      <c r="G380" s="136">
        <f t="shared" si="115"/>
        <v>34</v>
      </c>
      <c r="H380" s="162">
        <v>34</v>
      </c>
      <c r="I380" s="162"/>
      <c r="J380" s="136">
        <f t="shared" si="116"/>
        <v>21.245200000000001</v>
      </c>
      <c r="K380" s="162">
        <v>21.245200000000001</v>
      </c>
      <c r="L380" s="162"/>
      <c r="M380" s="132">
        <f t="shared" si="96"/>
        <v>62.774682820198102</v>
      </c>
      <c r="N380" s="13"/>
      <c r="O380" s="14" t="s">
        <v>529</v>
      </c>
      <c r="P380" s="94" t="s">
        <v>457</v>
      </c>
      <c r="Q380" s="40" t="s">
        <v>530</v>
      </c>
      <c r="R380" s="12"/>
    </row>
    <row r="381" spans="2:20" ht="75.75" customHeight="1" x14ac:dyDescent="0.2">
      <c r="B381" s="87"/>
      <c r="C381" s="89" t="s">
        <v>560</v>
      </c>
      <c r="D381" s="136">
        <f t="shared" si="112"/>
        <v>80.233999999999995</v>
      </c>
      <c r="E381" s="162">
        <v>80.233999999999995</v>
      </c>
      <c r="F381" s="162"/>
      <c r="G381" s="136">
        <f t="shared" si="113"/>
        <v>80.234099999999998</v>
      </c>
      <c r="H381" s="162">
        <v>80.234099999999998</v>
      </c>
      <c r="I381" s="162"/>
      <c r="J381" s="136">
        <f t="shared" si="114"/>
        <v>0</v>
      </c>
      <c r="K381" s="162"/>
      <c r="L381" s="162"/>
      <c r="M381" s="132">
        <f t="shared" si="96"/>
        <v>0</v>
      </c>
      <c r="N381" s="13">
        <v>100</v>
      </c>
      <c r="O381" s="87" t="s">
        <v>537</v>
      </c>
      <c r="P381" s="47" t="s">
        <v>478</v>
      </c>
      <c r="Q381" s="84" t="s">
        <v>561</v>
      </c>
      <c r="R381" s="12"/>
    </row>
    <row r="382" spans="2:20" ht="178.5" x14ac:dyDescent="0.2">
      <c r="B382" s="87"/>
      <c r="C382" s="25" t="s">
        <v>694</v>
      </c>
      <c r="D382" s="136">
        <f t="shared" si="112"/>
        <v>0.9</v>
      </c>
      <c r="E382" s="162">
        <v>0.9</v>
      </c>
      <c r="F382" s="162"/>
      <c r="G382" s="136">
        <f t="shared" si="113"/>
        <v>0</v>
      </c>
      <c r="H382" s="162"/>
      <c r="I382" s="162"/>
      <c r="J382" s="136">
        <f t="shared" si="114"/>
        <v>0.9</v>
      </c>
      <c r="K382" s="162">
        <v>0.9</v>
      </c>
      <c r="L382" s="162"/>
      <c r="M382" s="132">
        <f t="shared" si="96"/>
        <v>99.999999999999986</v>
      </c>
      <c r="N382" s="13"/>
      <c r="O382" s="87"/>
      <c r="P382" s="25" t="s">
        <v>667</v>
      </c>
      <c r="Q382" s="25" t="s">
        <v>383</v>
      </c>
      <c r="R382" s="12"/>
    </row>
    <row r="383" spans="2:20" ht="102" x14ac:dyDescent="0.2">
      <c r="B383" s="87"/>
      <c r="C383" s="25" t="s">
        <v>753</v>
      </c>
      <c r="D383" s="136">
        <f t="shared" ref="D383:D392" si="117">E383+F383</f>
        <v>0</v>
      </c>
      <c r="E383" s="162"/>
      <c r="F383" s="162"/>
      <c r="G383" s="136">
        <f t="shared" ref="G383:G392" si="118">H383+I383</f>
        <v>0</v>
      </c>
      <c r="H383" s="162"/>
      <c r="I383" s="162"/>
      <c r="J383" s="136">
        <f t="shared" ref="J383:J392" si="119">K383+L383</f>
        <v>43.230339999999998</v>
      </c>
      <c r="K383" s="162">
        <f>1.78311+0.3893</f>
        <v>2.1724100000000002</v>
      </c>
      <c r="L383" s="162">
        <f>7.39663+33.6613</f>
        <v>41.057929999999999</v>
      </c>
      <c r="M383" s="169">
        <f>(J384+J383)/(D384+D383)%</f>
        <v>73.892695078466247</v>
      </c>
      <c r="N383" s="13"/>
      <c r="O383" s="205" t="s">
        <v>856</v>
      </c>
      <c r="P383" s="206" t="s">
        <v>17</v>
      </c>
      <c r="Q383" s="25" t="s">
        <v>895</v>
      </c>
      <c r="R383" s="193" t="s">
        <v>857</v>
      </c>
    </row>
    <row r="384" spans="2:20" ht="51" x14ac:dyDescent="0.2">
      <c r="B384" s="87"/>
      <c r="C384" s="89" t="s">
        <v>888</v>
      </c>
      <c r="D384" s="136">
        <f t="shared" si="117"/>
        <v>91.478189999999998</v>
      </c>
      <c r="E384" s="162">
        <v>4.57395</v>
      </c>
      <c r="F384" s="162">
        <v>86.904240000000001</v>
      </c>
      <c r="G384" s="136">
        <f t="shared" si="118"/>
        <v>152.04219000000001</v>
      </c>
      <c r="H384" s="162">
        <f>1.50639+4.57395+1.52185</f>
        <v>7.6021899999999993</v>
      </c>
      <c r="I384" s="162">
        <f>28.62136+86.90424+28.9144</f>
        <v>144.44</v>
      </c>
      <c r="J384" s="136">
        <f t="shared" si="119"/>
        <v>24.365359999999999</v>
      </c>
      <c r="K384" s="162">
        <v>1.2182599999999999</v>
      </c>
      <c r="L384" s="162">
        <v>23.147099999999998</v>
      </c>
      <c r="M384" s="170"/>
      <c r="N384" s="13"/>
      <c r="O384" s="205"/>
      <c r="P384" s="206"/>
      <c r="Q384" s="25" t="s">
        <v>754</v>
      </c>
      <c r="R384" s="193"/>
      <c r="T384" s="116"/>
    </row>
    <row r="385" spans="2:18" ht="95.25" x14ac:dyDescent="0.2">
      <c r="B385" s="87"/>
      <c r="C385" s="126" t="s">
        <v>862</v>
      </c>
      <c r="D385" s="136">
        <f t="shared" si="117"/>
        <v>40</v>
      </c>
      <c r="E385" s="162">
        <v>40</v>
      </c>
      <c r="F385" s="162"/>
      <c r="G385" s="136">
        <f t="shared" si="118"/>
        <v>94.936899999999994</v>
      </c>
      <c r="H385" s="162">
        <v>94.936899999999994</v>
      </c>
      <c r="I385" s="162"/>
      <c r="J385" s="136">
        <f t="shared" si="119"/>
        <v>0</v>
      </c>
      <c r="K385" s="162"/>
      <c r="L385" s="162"/>
      <c r="M385" s="132">
        <f t="shared" si="96"/>
        <v>0</v>
      </c>
      <c r="N385" s="13">
        <v>100</v>
      </c>
      <c r="O385" s="87" t="s">
        <v>863</v>
      </c>
      <c r="P385" s="47" t="s">
        <v>757</v>
      </c>
      <c r="Q385" s="84" t="s">
        <v>851</v>
      </c>
      <c r="R385" s="12"/>
    </row>
    <row r="386" spans="2:18" ht="95.25" x14ac:dyDescent="0.2">
      <c r="B386" s="87"/>
      <c r="C386" s="126" t="s">
        <v>855</v>
      </c>
      <c r="D386" s="136">
        <f t="shared" ref="D386:D391" si="120">E386+F386</f>
        <v>50.777000000000001</v>
      </c>
      <c r="E386" s="162">
        <v>50.777000000000001</v>
      </c>
      <c r="F386" s="162"/>
      <c r="G386" s="136">
        <f t="shared" ref="G386:G391" si="121">H386+I386</f>
        <v>157.77699999999999</v>
      </c>
      <c r="H386" s="162">
        <v>157.77699999999999</v>
      </c>
      <c r="I386" s="162"/>
      <c r="J386" s="136">
        <f t="shared" ref="J386:J391" si="122">K386+L386</f>
        <v>0</v>
      </c>
      <c r="K386" s="162"/>
      <c r="L386" s="162"/>
      <c r="M386" s="132">
        <f t="shared" si="96"/>
        <v>0</v>
      </c>
      <c r="N386" s="13">
        <v>15</v>
      </c>
      <c r="O386" s="87" t="s">
        <v>854</v>
      </c>
      <c r="P386" s="47" t="s">
        <v>758</v>
      </c>
      <c r="Q386" s="84" t="s">
        <v>853</v>
      </c>
      <c r="R386" s="12"/>
    </row>
    <row r="387" spans="2:18" ht="59.25" customHeight="1" x14ac:dyDescent="0.2">
      <c r="B387" s="87"/>
      <c r="C387" s="126" t="s">
        <v>865</v>
      </c>
      <c r="D387" s="136">
        <f t="shared" si="120"/>
        <v>42</v>
      </c>
      <c r="E387" s="162">
        <v>2</v>
      </c>
      <c r="F387" s="162">
        <v>40</v>
      </c>
      <c r="G387" s="136">
        <f t="shared" si="121"/>
        <v>99.930260000000004</v>
      </c>
      <c r="H387" s="162">
        <v>99.930260000000004</v>
      </c>
      <c r="I387" s="162"/>
      <c r="J387" s="136">
        <f t="shared" si="122"/>
        <v>0</v>
      </c>
      <c r="K387" s="162"/>
      <c r="L387" s="162"/>
      <c r="M387" s="132">
        <f t="shared" si="96"/>
        <v>0</v>
      </c>
      <c r="N387" s="13">
        <v>100</v>
      </c>
      <c r="O387" s="87" t="s">
        <v>852</v>
      </c>
      <c r="P387" s="47" t="s">
        <v>759</v>
      </c>
      <c r="Q387" s="84" t="s">
        <v>851</v>
      </c>
      <c r="R387" s="12"/>
    </row>
    <row r="388" spans="2:18" ht="147" hidden="1" customHeight="1" x14ac:dyDescent="0.2">
      <c r="B388" s="87"/>
      <c r="C388" s="126" t="s">
        <v>849</v>
      </c>
      <c r="D388" s="136">
        <f t="shared" si="120"/>
        <v>0</v>
      </c>
      <c r="E388" s="162"/>
      <c r="F388" s="162"/>
      <c r="G388" s="136">
        <f t="shared" si="121"/>
        <v>8.4911200000000004</v>
      </c>
      <c r="H388" s="162">
        <v>8.4911200000000004</v>
      </c>
      <c r="I388" s="162"/>
      <c r="J388" s="136">
        <f t="shared" si="122"/>
        <v>0</v>
      </c>
      <c r="K388" s="162"/>
      <c r="L388" s="162"/>
      <c r="M388" s="132" t="e">
        <f t="shared" si="96"/>
        <v>#DIV/0!</v>
      </c>
      <c r="N388" s="13"/>
      <c r="O388" s="87" t="s">
        <v>850</v>
      </c>
      <c r="P388" s="47" t="s">
        <v>760</v>
      </c>
      <c r="Q388" s="84" t="s">
        <v>658</v>
      </c>
      <c r="R388" s="12"/>
    </row>
    <row r="389" spans="2:18" ht="72.75" customHeight="1" x14ac:dyDescent="0.2">
      <c r="B389" s="87"/>
      <c r="C389" s="126" t="s">
        <v>559</v>
      </c>
      <c r="D389" s="136">
        <f t="shared" si="120"/>
        <v>50</v>
      </c>
      <c r="E389" s="162">
        <v>50</v>
      </c>
      <c r="F389" s="162"/>
      <c r="G389" s="136">
        <f t="shared" si="121"/>
        <v>52.789000000000001</v>
      </c>
      <c r="H389" s="162">
        <v>52.789000000000001</v>
      </c>
      <c r="I389" s="162"/>
      <c r="J389" s="136">
        <f t="shared" si="122"/>
        <v>0</v>
      </c>
      <c r="K389" s="162"/>
      <c r="L389" s="162"/>
      <c r="M389" s="132">
        <f t="shared" si="96"/>
        <v>0</v>
      </c>
      <c r="N389" s="13">
        <v>100</v>
      </c>
      <c r="O389" s="87" t="s">
        <v>864</v>
      </c>
      <c r="P389" s="47" t="s">
        <v>761</v>
      </c>
      <c r="Q389" s="84" t="s">
        <v>851</v>
      </c>
      <c r="R389" s="12"/>
    </row>
    <row r="390" spans="2:18" ht="45.75" customHeight="1" x14ac:dyDescent="0.2">
      <c r="B390" s="87"/>
      <c r="C390" s="126" t="s">
        <v>859</v>
      </c>
      <c r="D390" s="136">
        <f t="shared" si="120"/>
        <v>50</v>
      </c>
      <c r="E390" s="162">
        <v>50</v>
      </c>
      <c r="F390" s="162"/>
      <c r="G390" s="136">
        <f t="shared" si="121"/>
        <v>94.311499999999995</v>
      </c>
      <c r="H390" s="162">
        <v>94.311499999999995</v>
      </c>
      <c r="I390" s="162"/>
      <c r="J390" s="136">
        <f t="shared" si="122"/>
        <v>0</v>
      </c>
      <c r="K390" s="162"/>
      <c r="L390" s="162"/>
      <c r="M390" s="132">
        <f t="shared" si="96"/>
        <v>0</v>
      </c>
      <c r="N390" s="13">
        <v>100</v>
      </c>
      <c r="O390" s="87" t="s">
        <v>858</v>
      </c>
      <c r="P390" s="47" t="s">
        <v>762</v>
      </c>
      <c r="Q390" s="84" t="s">
        <v>851</v>
      </c>
      <c r="R390" s="12"/>
    </row>
    <row r="391" spans="2:18" ht="12.75" x14ac:dyDescent="0.2">
      <c r="B391" s="87"/>
      <c r="C391" s="89" t="s">
        <v>889</v>
      </c>
      <c r="D391" s="136">
        <f t="shared" si="120"/>
        <v>8.1259999999999999E-2</v>
      </c>
      <c r="E391" s="162"/>
      <c r="F391" s="162">
        <v>8.1259999999999999E-2</v>
      </c>
      <c r="G391" s="136">
        <f t="shared" si="121"/>
        <v>0</v>
      </c>
      <c r="H391" s="162"/>
      <c r="I391" s="162"/>
      <c r="J391" s="136">
        <f t="shared" si="122"/>
        <v>0</v>
      </c>
      <c r="K391" s="162"/>
      <c r="L391" s="162"/>
      <c r="M391" s="132">
        <f t="shared" si="96"/>
        <v>0</v>
      </c>
      <c r="N391" s="13"/>
      <c r="O391" s="87"/>
      <c r="P391" s="47"/>
      <c r="Q391" s="84"/>
      <c r="R391" s="12"/>
    </row>
    <row r="392" spans="2:18" ht="12.75" x14ac:dyDescent="0.2">
      <c r="B392" s="87"/>
      <c r="C392" s="89" t="s">
        <v>890</v>
      </c>
      <c r="D392" s="136">
        <f t="shared" si="117"/>
        <v>5</v>
      </c>
      <c r="E392" s="162"/>
      <c r="F392" s="162">
        <v>5</v>
      </c>
      <c r="G392" s="136">
        <f t="shared" si="118"/>
        <v>0</v>
      </c>
      <c r="H392" s="162"/>
      <c r="I392" s="162"/>
      <c r="J392" s="136">
        <f t="shared" si="119"/>
        <v>0</v>
      </c>
      <c r="K392" s="162"/>
      <c r="L392" s="162"/>
      <c r="M392" s="132">
        <f t="shared" si="96"/>
        <v>0</v>
      </c>
      <c r="N392" s="13"/>
      <c r="O392" s="87"/>
      <c r="P392" s="47"/>
      <c r="Q392" s="84"/>
      <c r="R392" s="12"/>
    </row>
    <row r="393" spans="2:18" ht="12.75" x14ac:dyDescent="0.25">
      <c r="B393" s="17"/>
      <c r="C393" s="4" t="s">
        <v>19</v>
      </c>
      <c r="D393" s="136">
        <f t="shared" si="109"/>
        <v>1060.04015</v>
      </c>
      <c r="E393" s="136">
        <f>SUM(E354:E392)</f>
        <v>928.05399999999997</v>
      </c>
      <c r="F393" s="136">
        <f>SUM(F354:F392)</f>
        <v>131.98615000000001</v>
      </c>
      <c r="G393" s="136">
        <f t="shared" si="110"/>
        <v>1950.23549</v>
      </c>
      <c r="H393" s="136">
        <f>SUM(H354:H392)</f>
        <v>1718.80999</v>
      </c>
      <c r="I393" s="136">
        <f>SUM(I354:I392)</f>
        <v>231.4255</v>
      </c>
      <c r="J393" s="136">
        <f t="shared" si="111"/>
        <v>550.98989999999992</v>
      </c>
      <c r="K393" s="136">
        <f>SUM(K354:K392)</f>
        <v>486.78486999999996</v>
      </c>
      <c r="L393" s="136">
        <f>SUM(L354:L392)</f>
        <v>64.205029999999994</v>
      </c>
      <c r="M393" s="132">
        <f t="shared" si="96"/>
        <v>51.978210447972174</v>
      </c>
      <c r="N393" s="13"/>
      <c r="O393" s="14"/>
      <c r="P393" s="47"/>
      <c r="Q393" s="23"/>
      <c r="R393" s="26"/>
    </row>
    <row r="394" spans="2:18" ht="63.75" x14ac:dyDescent="0.25">
      <c r="B394" s="17" t="s">
        <v>421</v>
      </c>
      <c r="C394" s="4" t="s">
        <v>420</v>
      </c>
      <c r="D394" s="136"/>
      <c r="E394" s="136"/>
      <c r="F394" s="136"/>
      <c r="G394" s="136"/>
      <c r="H394" s="136"/>
      <c r="I394" s="136"/>
      <c r="J394" s="136"/>
      <c r="K394" s="136"/>
      <c r="L394" s="136"/>
      <c r="M394" s="132"/>
      <c r="N394" s="13"/>
      <c r="O394" s="14"/>
      <c r="P394" s="47"/>
      <c r="Q394" s="23"/>
      <c r="R394" s="26"/>
    </row>
    <row r="395" spans="2:18" ht="78" customHeight="1" x14ac:dyDescent="0.25">
      <c r="B395" s="17"/>
      <c r="C395" s="25" t="s">
        <v>422</v>
      </c>
      <c r="D395" s="136">
        <f>E395+F395</f>
        <v>17.433800000000002</v>
      </c>
      <c r="E395" s="136">
        <v>17.433800000000002</v>
      </c>
      <c r="F395" s="136"/>
      <c r="G395" s="136">
        <f>H395+I395</f>
        <v>19.25938</v>
      </c>
      <c r="H395" s="136">
        <v>19.25938</v>
      </c>
      <c r="I395" s="136"/>
      <c r="J395" s="136">
        <f>K395+L395</f>
        <v>17.433799999999998</v>
      </c>
      <c r="K395" s="136">
        <f>5.70222+7.3423+0.53928+3.85</f>
        <v>17.433799999999998</v>
      </c>
      <c r="L395" s="136"/>
      <c r="M395" s="132">
        <f t="shared" si="96"/>
        <v>99.999999999999972</v>
      </c>
      <c r="N395" s="13"/>
      <c r="O395" s="14" t="s">
        <v>590</v>
      </c>
      <c r="P395" s="86" t="s">
        <v>424</v>
      </c>
      <c r="Q395" s="25" t="s">
        <v>423</v>
      </c>
      <c r="R395" s="26"/>
    </row>
    <row r="396" spans="2:18" ht="79.5" customHeight="1" x14ac:dyDescent="0.25">
      <c r="B396" s="17"/>
      <c r="C396" s="39" t="s">
        <v>562</v>
      </c>
      <c r="D396" s="136">
        <f t="shared" ref="D396:D397" si="123">E396+F396</f>
        <v>165.24296000000001</v>
      </c>
      <c r="E396" s="136">
        <v>165.24296000000001</v>
      </c>
      <c r="F396" s="136"/>
      <c r="G396" s="136">
        <f t="shared" ref="G396:G397" si="124">H396+I396</f>
        <v>165.24395999999999</v>
      </c>
      <c r="H396" s="136">
        <v>165.24395999999999</v>
      </c>
      <c r="I396" s="136"/>
      <c r="J396" s="136">
        <f t="shared" ref="J396:J397" si="125">K396+L396</f>
        <v>0</v>
      </c>
      <c r="K396" s="136"/>
      <c r="L396" s="136"/>
      <c r="M396" s="132">
        <f t="shared" si="96"/>
        <v>0</v>
      </c>
      <c r="N396" s="13">
        <v>80</v>
      </c>
      <c r="O396" s="14" t="s">
        <v>563</v>
      </c>
      <c r="P396" s="86" t="s">
        <v>479</v>
      </c>
      <c r="Q396" s="40" t="s">
        <v>564</v>
      </c>
      <c r="R396" s="26"/>
    </row>
    <row r="397" spans="2:18" ht="76.5" x14ac:dyDescent="0.25">
      <c r="B397" s="17"/>
      <c r="C397" s="39" t="s">
        <v>567</v>
      </c>
      <c r="D397" s="136">
        <f t="shared" si="123"/>
        <v>110.395</v>
      </c>
      <c r="E397" s="136">
        <f>7.85+102.545</f>
        <v>110.395</v>
      </c>
      <c r="F397" s="136"/>
      <c r="G397" s="136">
        <f t="shared" si="124"/>
        <v>110.395</v>
      </c>
      <c r="H397" s="136">
        <v>110.395</v>
      </c>
      <c r="I397" s="136"/>
      <c r="J397" s="136">
        <f t="shared" si="125"/>
        <v>110.395</v>
      </c>
      <c r="K397" s="136">
        <f>102.545+7.85</f>
        <v>110.395</v>
      </c>
      <c r="L397" s="136"/>
      <c r="M397" s="132">
        <f t="shared" si="96"/>
        <v>100</v>
      </c>
      <c r="N397" s="13"/>
      <c r="O397" s="14" t="s">
        <v>566</v>
      </c>
      <c r="P397" s="86" t="s">
        <v>480</v>
      </c>
      <c r="Q397" s="14" t="s">
        <v>565</v>
      </c>
      <c r="R397" s="26"/>
    </row>
    <row r="398" spans="2:18" ht="12.75" x14ac:dyDescent="0.25">
      <c r="B398" s="17"/>
      <c r="C398" s="39"/>
      <c r="D398" s="136"/>
      <c r="E398" s="136">
        <v>1.8262400000000001</v>
      </c>
      <c r="F398" s="136"/>
      <c r="G398" s="136"/>
      <c r="H398" s="136"/>
      <c r="I398" s="136"/>
      <c r="J398" s="136"/>
      <c r="K398" s="136"/>
      <c r="L398" s="136"/>
      <c r="M398" s="132"/>
      <c r="N398" s="13"/>
      <c r="O398" s="14"/>
      <c r="P398" s="86"/>
      <c r="Q398" s="14"/>
      <c r="R398" s="26"/>
    </row>
    <row r="399" spans="2:18" ht="17.25" customHeight="1" x14ac:dyDescent="0.25">
      <c r="B399" s="17"/>
      <c r="C399" s="4" t="s">
        <v>19</v>
      </c>
      <c r="D399" s="136">
        <f>E399+F399</f>
        <v>294.89799999999997</v>
      </c>
      <c r="E399" s="136">
        <f>SUM(E395:E398)</f>
        <v>294.89799999999997</v>
      </c>
      <c r="F399" s="136">
        <f t="shared" ref="F399:L399" si="126">SUM(F395:F397)</f>
        <v>0</v>
      </c>
      <c r="G399" s="136">
        <f t="shared" si="126"/>
        <v>294.89833999999996</v>
      </c>
      <c r="H399" s="136">
        <f t="shared" si="126"/>
        <v>294.89833999999996</v>
      </c>
      <c r="I399" s="136">
        <f t="shared" si="126"/>
        <v>0</v>
      </c>
      <c r="J399" s="136">
        <f t="shared" si="126"/>
        <v>127.8288</v>
      </c>
      <c r="K399" s="136">
        <f t="shared" si="126"/>
        <v>127.8288</v>
      </c>
      <c r="L399" s="136">
        <f t="shared" si="126"/>
        <v>0</v>
      </c>
      <c r="M399" s="132">
        <f t="shared" si="96"/>
        <v>43.346784311863765</v>
      </c>
      <c r="N399" s="13"/>
      <c r="O399" s="14"/>
      <c r="P399" s="22"/>
      <c r="Q399" s="23"/>
      <c r="R399" s="26"/>
    </row>
    <row r="400" spans="2:18" ht="89.25" x14ac:dyDescent="0.25">
      <c r="B400" s="17" t="s">
        <v>367</v>
      </c>
      <c r="C400" s="4" t="s">
        <v>368</v>
      </c>
      <c r="D400" s="136"/>
      <c r="E400" s="135"/>
      <c r="F400" s="135"/>
      <c r="G400" s="136"/>
      <c r="H400" s="136"/>
      <c r="I400" s="137"/>
      <c r="J400" s="136"/>
      <c r="K400" s="136"/>
      <c r="L400" s="136"/>
      <c r="M400" s="132"/>
      <c r="N400" s="13"/>
      <c r="O400" s="10"/>
      <c r="P400" s="11"/>
      <c r="Q400" s="10"/>
      <c r="R400" s="12"/>
    </row>
    <row r="401" spans="2:19" ht="25.5" x14ac:dyDescent="0.25">
      <c r="B401" s="17"/>
      <c r="C401" s="97" t="s">
        <v>369</v>
      </c>
      <c r="D401" s="136">
        <f t="shared" si="109"/>
        <v>4.5</v>
      </c>
      <c r="E401" s="140">
        <v>4.5</v>
      </c>
      <c r="F401" s="137"/>
      <c r="G401" s="136">
        <f t="shared" si="110"/>
        <v>6</v>
      </c>
      <c r="H401" s="140">
        <v>6</v>
      </c>
      <c r="I401" s="136"/>
      <c r="J401" s="136">
        <f t="shared" si="111"/>
        <v>4.4000000000000004</v>
      </c>
      <c r="K401" s="140">
        <v>4.4000000000000004</v>
      </c>
      <c r="L401" s="136"/>
      <c r="M401" s="132">
        <f t="shared" ref="M401:M406" si="127">J401/D401%</f>
        <v>97.777777777777786</v>
      </c>
      <c r="N401" s="13"/>
      <c r="O401" s="10"/>
      <c r="P401" s="11"/>
      <c r="Q401" s="23"/>
      <c r="R401" s="12"/>
      <c r="S401" s="116"/>
    </row>
    <row r="402" spans="2:19" ht="60" customHeight="1" x14ac:dyDescent="0.25">
      <c r="B402" s="17"/>
      <c r="C402" s="28" t="s">
        <v>136</v>
      </c>
      <c r="D402" s="136">
        <f t="shared" si="109"/>
        <v>10</v>
      </c>
      <c r="E402" s="140">
        <v>10</v>
      </c>
      <c r="F402" s="137"/>
      <c r="G402" s="136">
        <f t="shared" si="110"/>
        <v>10</v>
      </c>
      <c r="H402" s="140">
        <v>10</v>
      </c>
      <c r="I402" s="136"/>
      <c r="J402" s="136">
        <f t="shared" si="111"/>
        <v>0</v>
      </c>
      <c r="K402" s="140"/>
      <c r="L402" s="136"/>
      <c r="M402" s="132">
        <f t="shared" si="127"/>
        <v>0</v>
      </c>
      <c r="N402" s="13"/>
      <c r="O402" s="10" t="s">
        <v>137</v>
      </c>
      <c r="P402" s="11" t="s">
        <v>138</v>
      </c>
      <c r="Q402" s="99" t="s">
        <v>312</v>
      </c>
      <c r="R402" s="12"/>
    </row>
    <row r="403" spans="2:19" ht="25.5" x14ac:dyDescent="0.25">
      <c r="B403" s="17"/>
      <c r="C403" s="28" t="s">
        <v>370</v>
      </c>
      <c r="D403" s="136">
        <f t="shared" si="109"/>
        <v>1.23E-3</v>
      </c>
      <c r="E403" s="140"/>
      <c r="F403" s="137">
        <v>1.23E-3</v>
      </c>
      <c r="G403" s="136">
        <f t="shared" si="110"/>
        <v>0</v>
      </c>
      <c r="H403" s="140"/>
      <c r="I403" s="136"/>
      <c r="J403" s="136">
        <f t="shared" si="111"/>
        <v>0</v>
      </c>
      <c r="K403" s="140"/>
      <c r="L403" s="136"/>
      <c r="M403" s="132">
        <f t="shared" si="127"/>
        <v>0</v>
      </c>
      <c r="N403" s="13"/>
      <c r="O403" s="10"/>
      <c r="P403" s="11"/>
      <c r="Q403" s="34"/>
      <c r="R403" s="12"/>
    </row>
    <row r="404" spans="2:19" ht="153" customHeight="1" x14ac:dyDescent="0.25">
      <c r="B404" s="17"/>
      <c r="C404" s="28" t="s">
        <v>763</v>
      </c>
      <c r="D404" s="136">
        <f t="shared" si="109"/>
        <v>0.6</v>
      </c>
      <c r="E404" s="140">
        <v>0.6</v>
      </c>
      <c r="F404" s="137"/>
      <c r="G404" s="136">
        <f t="shared" ref="G404" si="128">H404+I404</f>
        <v>0</v>
      </c>
      <c r="H404" s="140"/>
      <c r="I404" s="136"/>
      <c r="J404" s="136">
        <f t="shared" ref="J404" si="129">K404+L404</f>
        <v>0.6</v>
      </c>
      <c r="K404" s="140">
        <v>0.6</v>
      </c>
      <c r="L404" s="136"/>
      <c r="M404" s="132">
        <f t="shared" si="127"/>
        <v>100</v>
      </c>
      <c r="N404" s="13"/>
      <c r="O404" s="10"/>
      <c r="P404" s="11" t="s">
        <v>764</v>
      </c>
      <c r="Q404" s="34" t="s">
        <v>765</v>
      </c>
      <c r="R404" s="12"/>
    </row>
    <row r="405" spans="2:19" ht="45.75" x14ac:dyDescent="0.25">
      <c r="B405" s="17"/>
      <c r="C405" s="127" t="s">
        <v>866</v>
      </c>
      <c r="D405" s="136">
        <f t="shared" si="109"/>
        <v>400</v>
      </c>
      <c r="E405" s="140">
        <v>400</v>
      </c>
      <c r="F405" s="137"/>
      <c r="G405" s="136"/>
      <c r="H405" s="140"/>
      <c r="I405" s="136"/>
      <c r="J405" s="136"/>
      <c r="K405" s="140"/>
      <c r="L405" s="136"/>
      <c r="M405" s="132">
        <f t="shared" si="127"/>
        <v>0</v>
      </c>
      <c r="N405" s="13"/>
      <c r="O405" s="10"/>
      <c r="P405" s="11"/>
      <c r="Q405" s="34"/>
      <c r="R405" s="12"/>
    </row>
    <row r="406" spans="2:19" ht="12.75" x14ac:dyDescent="0.25">
      <c r="B406" s="14"/>
      <c r="C406" s="4" t="s">
        <v>19</v>
      </c>
      <c r="D406" s="136">
        <f t="shared" si="109"/>
        <v>415.10123000000004</v>
      </c>
      <c r="E406" s="136">
        <f>SUM(E401:E405)</f>
        <v>415.1</v>
      </c>
      <c r="F406" s="136">
        <f>SUM(F401:F404)</f>
        <v>1.23E-3</v>
      </c>
      <c r="G406" s="136">
        <f t="shared" si="110"/>
        <v>16</v>
      </c>
      <c r="H406" s="136">
        <f>SUM(H401:H404)</f>
        <v>16</v>
      </c>
      <c r="I406" s="136">
        <f>SUM(I401:I404)</f>
        <v>0</v>
      </c>
      <c r="J406" s="136">
        <f t="shared" si="111"/>
        <v>5</v>
      </c>
      <c r="K406" s="136">
        <f>SUM(K401:K404)</f>
        <v>5</v>
      </c>
      <c r="L406" s="136">
        <f>SUM(L401:L404)</f>
        <v>0</v>
      </c>
      <c r="M406" s="132">
        <f t="shared" si="127"/>
        <v>1.2045254599703306</v>
      </c>
      <c r="N406" s="13"/>
      <c r="O406" s="14"/>
      <c r="P406" s="22"/>
      <c r="Q406" s="23"/>
      <c r="R406" s="12"/>
    </row>
    <row r="409" spans="2:19" x14ac:dyDescent="0.2">
      <c r="B409" s="1"/>
      <c r="C409" s="196"/>
      <c r="D409" s="196"/>
      <c r="E409" s="196"/>
      <c r="F409" s="196"/>
      <c r="G409" s="196"/>
      <c r="H409" s="196"/>
      <c r="I409" s="196"/>
      <c r="J409" s="196"/>
      <c r="K409" s="196"/>
      <c r="L409" s="196"/>
      <c r="M409" s="196"/>
      <c r="N409" s="196"/>
      <c r="O409" s="196"/>
      <c r="P409" s="196"/>
      <c r="Q409" s="1"/>
      <c r="R409" s="1"/>
    </row>
    <row r="410" spans="2:19" x14ac:dyDescent="0.2">
      <c r="B410" s="1"/>
      <c r="C410" s="196"/>
      <c r="D410" s="196"/>
      <c r="E410" s="196"/>
      <c r="F410" s="196"/>
      <c r="G410" s="196"/>
      <c r="H410" s="196"/>
      <c r="I410" s="196"/>
      <c r="J410" s="196"/>
      <c r="K410" s="196"/>
      <c r="L410" s="196"/>
      <c r="M410" s="196"/>
      <c r="N410" s="196"/>
      <c r="O410" s="196"/>
      <c r="P410" s="196"/>
      <c r="Q410" s="1"/>
      <c r="R410" s="1"/>
    </row>
  </sheetData>
  <mergeCells count="113">
    <mergeCell ref="M250:M251"/>
    <mergeCell ref="N250:N251"/>
    <mergeCell ref="M354:M355"/>
    <mergeCell ref="N354:N355"/>
    <mergeCell ref="P328:P329"/>
    <mergeCell ref="M198:M199"/>
    <mergeCell ref="N198:N199"/>
    <mergeCell ref="R354:R355"/>
    <mergeCell ref="Q354:Q355"/>
    <mergeCell ref="Q200:Q201"/>
    <mergeCell ref="O177:O178"/>
    <mergeCell ref="O186:O189"/>
    <mergeCell ref="P186:P189"/>
    <mergeCell ref="O190:O194"/>
    <mergeCell ref="P190:P194"/>
    <mergeCell ref="R183:R184"/>
    <mergeCell ref="O383:O384"/>
    <mergeCell ref="P383:P384"/>
    <mergeCell ref="Q186:Q189"/>
    <mergeCell ref="Q190:Q194"/>
    <mergeCell ref="Q196:Q197"/>
    <mergeCell ref="R328:R329"/>
    <mergeCell ref="P180:P182"/>
    <mergeCell ref="R383:R384"/>
    <mergeCell ref="R356:R357"/>
    <mergeCell ref="Q373:Q374"/>
    <mergeCell ref="R360:R361"/>
    <mergeCell ref="M44:M45"/>
    <mergeCell ref="N44:N45"/>
    <mergeCell ref="M116:M117"/>
    <mergeCell ref="N116:N117"/>
    <mergeCell ref="O54:O57"/>
    <mergeCell ref="O37:O38"/>
    <mergeCell ref="P37:P38"/>
    <mergeCell ref="O116:O117"/>
    <mergeCell ref="P116:P117"/>
    <mergeCell ref="O46:O47"/>
    <mergeCell ref="P46:P47"/>
    <mergeCell ref="P39:P40"/>
    <mergeCell ref="P107:P108"/>
    <mergeCell ref="O74:O75"/>
    <mergeCell ref="P74:P75"/>
    <mergeCell ref="M37:M38"/>
    <mergeCell ref="N37:N38"/>
    <mergeCell ref="R37:R38"/>
    <mergeCell ref="C5:L5"/>
    <mergeCell ref="H1:M3"/>
    <mergeCell ref="C409:P410"/>
    <mergeCell ref="Q356:Q357"/>
    <mergeCell ref="Q360:Q361"/>
    <mergeCell ref="O198:O199"/>
    <mergeCell ref="P198:P199"/>
    <mergeCell ref="O200:O201"/>
    <mergeCell ref="P200:P201"/>
    <mergeCell ref="P360:P361"/>
    <mergeCell ref="O354:O355"/>
    <mergeCell ref="P354:P355"/>
    <mergeCell ref="O356:O357"/>
    <mergeCell ref="P356:P357"/>
    <mergeCell ref="O250:O251"/>
    <mergeCell ref="P250:P251"/>
    <mergeCell ref="O328:O329"/>
    <mergeCell ref="P373:P374"/>
    <mergeCell ref="O33:O34"/>
    <mergeCell ref="P33:P34"/>
    <mergeCell ref="O174:O175"/>
    <mergeCell ref="P174:P175"/>
    <mergeCell ref="O172:O173"/>
    <mergeCell ref="O10:O11"/>
    <mergeCell ref="P10:P11"/>
    <mergeCell ref="Q10:Q11"/>
    <mergeCell ref="P54:P57"/>
    <mergeCell ref="O49:O53"/>
    <mergeCell ref="P49:P53"/>
    <mergeCell ref="O107:O108"/>
    <mergeCell ref="O66:O69"/>
    <mergeCell ref="P66:P69"/>
    <mergeCell ref="O71:O72"/>
    <mergeCell ref="P71:P72"/>
    <mergeCell ref="O44:O45"/>
    <mergeCell ref="P44:P45"/>
    <mergeCell ref="Q33:Q34"/>
    <mergeCell ref="Q107:Q108"/>
    <mergeCell ref="Q46:Q47"/>
    <mergeCell ref="Q54:Q57"/>
    <mergeCell ref="Q49:Q53"/>
    <mergeCell ref="Q66:Q69"/>
    <mergeCell ref="Q74:Q75"/>
    <mergeCell ref="Q71:Q72"/>
    <mergeCell ref="R172:R173"/>
    <mergeCell ref="O373:O374"/>
    <mergeCell ref="M59:M60"/>
    <mergeCell ref="O59:O60"/>
    <mergeCell ref="P59:P60"/>
    <mergeCell ref="M383:M384"/>
    <mergeCell ref="P172:P173"/>
    <mergeCell ref="O265:O266"/>
    <mergeCell ref="P265:P266"/>
    <mergeCell ref="Q265:Q266"/>
    <mergeCell ref="Q275:Q276"/>
    <mergeCell ref="P275:P276"/>
    <mergeCell ref="O275:O276"/>
    <mergeCell ref="P177:P178"/>
    <mergeCell ref="P183:P184"/>
    <mergeCell ref="O196:O197"/>
    <mergeCell ref="P196:P197"/>
    <mergeCell ref="Q174:Q175"/>
    <mergeCell ref="Q177:Q178"/>
    <mergeCell ref="Q180:Q182"/>
    <mergeCell ref="Q183:Q184"/>
    <mergeCell ref="Q172:Q173"/>
    <mergeCell ref="O183:O184"/>
    <mergeCell ref="O180:O181"/>
  </mergeCell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 Ustiashvili</dc:creator>
  <cp:lastModifiedBy>Marina Tediashvili</cp:lastModifiedBy>
  <cp:lastPrinted>2022-11-15T10:08:42Z</cp:lastPrinted>
  <dcterms:created xsi:type="dcterms:W3CDTF">2022-05-02T11:18:19Z</dcterms:created>
  <dcterms:modified xsi:type="dcterms:W3CDTF">2022-11-15T10:12:28Z</dcterms:modified>
</cp:coreProperties>
</file>